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G:\Csilla\dokumentumok\Költségvetés_2024\rendeletszöveg\"/>
    </mc:Choice>
  </mc:AlternateContent>
  <xr:revisionPtr revIDLastSave="0" documentId="13_ncr:1_{E5787B0A-8048-4F96-8924-52E97A6D22D7}" xr6:coauthVersionLast="47" xr6:coauthVersionMax="47" xr10:uidLastSave="{00000000-0000-0000-0000-000000000000}"/>
  <bookViews>
    <workbookView xWindow="15510" yWindow="0" windowWidth="13290" windowHeight="15600" firstSheet="1" activeTab="3" xr2:uid="{00000000-000D-0000-FFFF-FFFF00000000}"/>
  </bookViews>
  <sheets>
    <sheet name="1" sheetId="8" r:id="rId1"/>
    <sheet name="2" sheetId="7" r:id="rId2"/>
    <sheet name="3_önk_számoló" sheetId="6" state="hidden" r:id="rId3"/>
    <sheet name="3_önk" sheetId="9" r:id="rId4"/>
    <sheet name="3_int" sheetId="5" r:id="rId5"/>
    <sheet name="4" sheetId="12" r:id="rId6"/>
    <sheet name="5" sheetId="4" r:id="rId7"/>
    <sheet name="6" sheetId="3" r:id="rId8"/>
    <sheet name="7" sheetId="2" r:id="rId9"/>
    <sheet name="8" sheetId="10" r:id="rId10"/>
    <sheet name="9" sheetId="11" r:id="rId11"/>
    <sheet name="10" sheetId="1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2" l="1"/>
  <c r="E20" i="12"/>
  <c r="E12" i="12"/>
  <c r="E18" i="12" l="1"/>
  <c r="E16" i="12"/>
  <c r="E6" i="12"/>
  <c r="D44" i="8"/>
  <c r="Q6" i="1"/>
  <c r="E22" i="1"/>
  <c r="F22" i="1"/>
  <c r="G22" i="1"/>
  <c r="H22" i="1"/>
  <c r="I22" i="1"/>
  <c r="J22" i="1"/>
  <c r="K22" i="1"/>
  <c r="L22" i="1"/>
  <c r="M22" i="1"/>
  <c r="N22" i="1"/>
  <c r="O22" i="1"/>
  <c r="P22" i="1"/>
  <c r="E12" i="1"/>
  <c r="F12" i="1"/>
  <c r="G12" i="1"/>
  <c r="H12" i="1"/>
  <c r="I12" i="1"/>
  <c r="J12" i="1"/>
  <c r="K12" i="1"/>
  <c r="L12" i="1"/>
  <c r="M12" i="1"/>
  <c r="N12" i="1"/>
  <c r="O12" i="1"/>
  <c r="P12" i="1"/>
  <c r="N32" i="9"/>
  <c r="N28" i="9"/>
  <c r="N39" i="9"/>
  <c r="N40" i="9"/>
  <c r="N38" i="9"/>
  <c r="L41" i="9"/>
  <c r="G41" i="9"/>
  <c r="H41" i="9"/>
  <c r="I41" i="9"/>
  <c r="J41" i="9"/>
  <c r="K41" i="9"/>
  <c r="M41" i="9"/>
  <c r="E41" i="9"/>
  <c r="F19" i="9"/>
  <c r="F41" i="9" s="1"/>
  <c r="D7" i="9"/>
  <c r="N7" i="9" s="1"/>
  <c r="N35" i="9"/>
  <c r="N36" i="9"/>
  <c r="N34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9" i="9"/>
  <c r="N30" i="9"/>
  <c r="N31" i="9"/>
  <c r="N41" i="9" l="1"/>
  <c r="D41" i="9"/>
  <c r="C41" i="10" l="1"/>
  <c r="C28" i="10"/>
  <c r="C10" i="10" l="1"/>
  <c r="F6" i="2"/>
  <c r="F5" i="2"/>
  <c r="D35" i="3"/>
  <c r="D42" i="3" s="1"/>
  <c r="D39" i="3"/>
  <c r="C33" i="4"/>
  <c r="E26" i="5"/>
  <c r="E27" i="5"/>
  <c r="E28" i="5"/>
  <c r="E29" i="5"/>
  <c r="E30" i="5"/>
  <c r="E25" i="5"/>
  <c r="D50" i="7"/>
  <c r="D48" i="7"/>
  <c r="D7" i="7"/>
  <c r="D12" i="7"/>
  <c r="D8" i="7" s="1"/>
  <c r="D16" i="7"/>
  <c r="D13" i="7"/>
  <c r="D18" i="7"/>
  <c r="D16" i="8"/>
  <c r="L49" i="6" l="1"/>
  <c r="J9" i="6"/>
  <c r="J13" i="6"/>
  <c r="I29" i="6"/>
  <c r="H49" i="6"/>
  <c r="F7" i="6"/>
  <c r="D7" i="6"/>
  <c r="D31" i="6"/>
  <c r="J29" i="6" l="1"/>
  <c r="J75" i="6" s="1"/>
  <c r="C9" i="4"/>
  <c r="C5" i="4"/>
  <c r="C12" i="4"/>
  <c r="I75" i="6"/>
  <c r="N57" i="6"/>
  <c r="E19" i="6"/>
  <c r="D19" i="6"/>
  <c r="D50" i="1" l="1"/>
  <c r="G75" i="6" l="1"/>
  <c r="K75" i="6"/>
  <c r="L75" i="6"/>
  <c r="M75" i="6"/>
  <c r="E74" i="6"/>
  <c r="G74" i="6"/>
  <c r="H74" i="6"/>
  <c r="I74" i="6"/>
  <c r="J74" i="6"/>
  <c r="K74" i="6"/>
  <c r="L74" i="6"/>
  <c r="M74" i="6"/>
  <c r="N7" i="6"/>
  <c r="N6" i="6"/>
  <c r="N67" i="6"/>
  <c r="N68" i="6"/>
  <c r="N69" i="6"/>
  <c r="N70" i="6"/>
  <c r="N71" i="6"/>
  <c r="N72" i="6"/>
  <c r="N73" i="6"/>
  <c r="N66" i="6"/>
  <c r="N64" i="6"/>
  <c r="N62" i="6"/>
  <c r="N61" i="6"/>
  <c r="N59" i="6"/>
  <c r="N10" i="6"/>
  <c r="N12" i="6"/>
  <c r="N14" i="6"/>
  <c r="N15" i="6"/>
  <c r="N16" i="6"/>
  <c r="N17" i="6"/>
  <c r="N18" i="6"/>
  <c r="N19" i="6"/>
  <c r="N20" i="6"/>
  <c r="N21" i="6"/>
  <c r="N22" i="6"/>
  <c r="N23" i="6"/>
  <c r="N24" i="6"/>
  <c r="N26" i="6"/>
  <c r="N27" i="6"/>
  <c r="N32" i="6"/>
  <c r="N33" i="6"/>
  <c r="N34" i="6"/>
  <c r="N35" i="6"/>
  <c r="N36" i="6"/>
  <c r="N38" i="6"/>
  <c r="N39" i="6"/>
  <c r="N40" i="6"/>
  <c r="N41" i="6"/>
  <c r="N42" i="6"/>
  <c r="N43" i="6"/>
  <c r="N46" i="6"/>
  <c r="N48" i="6"/>
  <c r="N52" i="6"/>
  <c r="N53" i="6"/>
  <c r="N54" i="6"/>
  <c r="N55" i="6"/>
  <c r="N56" i="6"/>
  <c r="N60" i="6"/>
  <c r="F51" i="6"/>
  <c r="N51" i="6" s="1"/>
  <c r="N31" i="6"/>
  <c r="F9" i="6"/>
  <c r="N49" i="6"/>
  <c r="F47" i="6"/>
  <c r="N47" i="6" s="1"/>
  <c r="F28" i="6"/>
  <c r="N28" i="6" s="1"/>
  <c r="F25" i="6"/>
  <c r="N25" i="6" s="1"/>
  <c r="F37" i="6"/>
  <c r="N37" i="6" s="1"/>
  <c r="E11" i="6"/>
  <c r="E75" i="6" s="1"/>
  <c r="D11" i="6"/>
  <c r="D75" i="6" s="1"/>
  <c r="C7" i="4"/>
  <c r="C14" i="4" s="1"/>
  <c r="M31" i="5"/>
  <c r="N30" i="5"/>
  <c r="N29" i="5"/>
  <c r="N28" i="5"/>
  <c r="N27" i="5"/>
  <c r="N26" i="5"/>
  <c r="N25" i="5"/>
  <c r="N17" i="5"/>
  <c r="N16" i="5"/>
  <c r="N15" i="5"/>
  <c r="N13" i="5"/>
  <c r="E18" i="5"/>
  <c r="F18" i="5"/>
  <c r="G18" i="5"/>
  <c r="H18" i="5"/>
  <c r="I18" i="5"/>
  <c r="J18" i="5"/>
  <c r="K18" i="5"/>
  <c r="L18" i="5"/>
  <c r="M18" i="5"/>
  <c r="D22" i="1"/>
  <c r="D30" i="6"/>
  <c r="D74" i="6" s="1"/>
  <c r="F8" i="6"/>
  <c r="N8" i="6" s="1"/>
  <c r="F44" i="6"/>
  <c r="F45" i="6" s="1"/>
  <c r="N45" i="6" s="1"/>
  <c r="F50" i="6"/>
  <c r="N50" i="6" s="1"/>
  <c r="D21" i="3"/>
  <c r="D18" i="3"/>
  <c r="N31" i="5" l="1"/>
  <c r="F29" i="6"/>
  <c r="N29" i="6" s="1"/>
  <c r="N44" i="6"/>
  <c r="F74" i="6"/>
  <c r="N74" i="6" s="1"/>
  <c r="N30" i="6"/>
  <c r="N9" i="6"/>
  <c r="H75" i="6"/>
  <c r="N13" i="6"/>
  <c r="N11" i="6"/>
  <c r="D10" i="3"/>
  <c r="D25" i="3" s="1"/>
  <c r="D24" i="3"/>
  <c r="D26" i="3" s="1"/>
  <c r="D31" i="5"/>
  <c r="D52" i="3"/>
  <c r="D59" i="3" s="1"/>
  <c r="D56" i="3"/>
  <c r="N6" i="5"/>
  <c r="F75" i="6" l="1"/>
  <c r="N75" i="6" s="1"/>
  <c r="N14" i="5"/>
  <c r="N18" i="5" s="1"/>
  <c r="D18" i="5"/>
  <c r="Q14" i="1"/>
  <c r="Q15" i="1"/>
  <c r="Q16" i="1"/>
  <c r="Q17" i="1"/>
  <c r="Q18" i="1"/>
  <c r="Q19" i="1"/>
  <c r="Q20" i="1"/>
  <c r="Q21" i="1"/>
  <c r="Q13" i="1"/>
  <c r="Q7" i="1"/>
  <c r="Q8" i="1"/>
  <c r="Q9" i="1"/>
  <c r="Q10" i="1"/>
  <c r="Q11" i="1"/>
  <c r="D12" i="1"/>
  <c r="Q12" i="1" l="1"/>
  <c r="Q22" i="1"/>
  <c r="D5" i="7"/>
  <c r="D20" i="7" s="1"/>
  <c r="D27" i="8"/>
  <c r="D12" i="8"/>
  <c r="D30" i="8"/>
  <c r="D21" i="8"/>
  <c r="D17" i="8"/>
  <c r="D7" i="8"/>
  <c r="F64" i="1"/>
  <c r="G64" i="1"/>
  <c r="H64" i="1"/>
  <c r="I64" i="1"/>
  <c r="J64" i="1"/>
  <c r="K64" i="1"/>
  <c r="L64" i="1"/>
  <c r="M64" i="1"/>
  <c r="N64" i="1"/>
  <c r="O64" i="1"/>
  <c r="P64" i="1"/>
  <c r="E64" i="1"/>
  <c r="Q58" i="1"/>
  <c r="Q60" i="1"/>
  <c r="Q61" i="1"/>
  <c r="Q62" i="1"/>
  <c r="Q63" i="1"/>
  <c r="Q57" i="1"/>
  <c r="D74" i="3"/>
  <c r="D72" i="3"/>
  <c r="D68" i="3"/>
  <c r="D75" i="3" s="1"/>
  <c r="Q44" i="1"/>
  <c r="Q46" i="1"/>
  <c r="Q47" i="1"/>
  <c r="Q48" i="1"/>
  <c r="Q49" i="1"/>
  <c r="Q43" i="1"/>
  <c r="D51" i="8"/>
  <c r="D33" i="8" l="1"/>
  <c r="Q50" i="1"/>
  <c r="D76" i="3"/>
  <c r="Q64" i="1"/>
  <c r="Q35" i="1"/>
  <c r="Q34" i="1"/>
  <c r="Q33" i="1"/>
  <c r="Q32" i="1"/>
  <c r="Q29" i="1"/>
  <c r="H31" i="1"/>
  <c r="F31" i="1"/>
  <c r="G31" i="1"/>
  <c r="C23" i="4"/>
  <c r="D30" i="7"/>
  <c r="Q36" i="1" l="1"/>
  <c r="E31" i="5"/>
  <c r="F31" i="5"/>
  <c r="G31" i="5"/>
  <c r="H31" i="5"/>
  <c r="I31" i="5"/>
  <c r="J31" i="5"/>
  <c r="K31" i="5"/>
  <c r="L31" i="5"/>
  <c r="D46" i="7"/>
  <c r="D52" i="7" s="1"/>
  <c r="D37" i="7" l="1"/>
  <c r="D40" i="7" s="1"/>
  <c r="D65" i="8"/>
  <c r="D71" i="8" s="1"/>
  <c r="D56" i="8"/>
  <c r="N63" i="6" l="1"/>
  <c r="C42" i="4" l="1"/>
  <c r="D58" i="3" l="1"/>
  <c r="D60" i="3" s="1"/>
  <c r="D41" i="3" l="1"/>
  <c r="D43" i="3" s="1"/>
  <c r="C7" i="2"/>
  <c r="D7" i="2"/>
  <c r="E7" i="2"/>
  <c r="Q30" i="1"/>
  <c r="Q31" i="1" s="1"/>
  <c r="D31" i="1"/>
  <c r="E31" i="1"/>
  <c r="I31" i="1"/>
  <c r="J31" i="1"/>
  <c r="K31" i="1"/>
  <c r="L31" i="1"/>
  <c r="M31" i="1"/>
  <c r="N31" i="1"/>
  <c r="O31" i="1"/>
  <c r="P31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D64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E50" i="1"/>
  <c r="F50" i="1"/>
  <c r="G50" i="1"/>
  <c r="H50" i="1"/>
  <c r="I50" i="1"/>
  <c r="J50" i="1"/>
  <c r="K50" i="1"/>
  <c r="L50" i="1"/>
  <c r="P50" i="1"/>
  <c r="O50" i="1"/>
  <c r="N50" i="1"/>
  <c r="E45" i="1"/>
  <c r="F45" i="1"/>
  <c r="G45" i="1"/>
  <c r="H45" i="1"/>
  <c r="I45" i="1"/>
  <c r="J45" i="1"/>
  <c r="K45" i="1"/>
  <c r="L45" i="1"/>
  <c r="M45" i="1"/>
  <c r="O45" i="1"/>
  <c r="D45" i="1"/>
  <c r="P45" i="1"/>
  <c r="N45" i="1"/>
  <c r="F7" i="2" l="1"/>
  <c r="Q59" i="1"/>
  <c r="Q45" i="1"/>
  <c r="M50" i="1"/>
</calcChain>
</file>

<file path=xl/sharedStrings.xml><?xml version="1.0" encoding="utf-8"?>
<sst xmlns="http://schemas.openxmlformats.org/spreadsheetml/2006/main" count="787" uniqueCount="268">
  <si>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</si>
  <si>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</si>
  <si>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</si>
  <si>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</si>
  <si>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</si>
  <si>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</si>
  <si>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</si>
  <si>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</si>
  <si>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</si>
  <si>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</si>
  <si>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</si>
  <si>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</si>
  <si>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</si>
  <si>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</si>
  <si>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</si>
  <si>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Megnevezés</t>
  </si>
  <si>
    <t>Előirányzat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</si>
  <si>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</si>
  <si>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</si>
  <si>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</si>
  <si>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</si>
  <si>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</si>
  <si>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</si>
  <si>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</si>
  <si>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</si>
  <si>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</si>
  <si>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</si>
  <si>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</si>
  <si>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</si>
  <si>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</si>
  <si>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A többéves kihatással járó feladat megnevezése</t>
  </si>
  <si>
    <t>2024.</t>
  </si>
  <si>
    <t>2025.</t>
  </si>
  <si>
    <t>2026.</t>
  </si>
  <si>
    <t>Felhalmozási célú hitel visszafizetés</t>
  </si>
  <si>
    <t>Felhalmozási célú hitel kamat fizetés</t>
  </si>
  <si>
    <t>Eredeti</t>
  </si>
  <si>
    <t xml:space="preserve">Eredeti </t>
  </si>
  <si>
    <t>Szakfeladat</t>
  </si>
  <si>
    <t>1. Önkormányzati vagyonnal való gazdálkodás</t>
  </si>
  <si>
    <t>1.1. Repülőtér erdősítés</t>
  </si>
  <si>
    <t>1. Önkormányzati jogalkotás</t>
  </si>
  <si>
    <t>1. Óvodai nevelés</t>
  </si>
  <si>
    <t>Működési kiadások</t>
  </si>
  <si>
    <t>Felhalmozási kiadások</t>
  </si>
  <si>
    <t>Tartalék</t>
  </si>
  <si>
    <t>Személyi juttatások</t>
  </si>
  <si>
    <t>Munkaadót terhelő járulékok és szociális adó</t>
  </si>
  <si>
    <t>Dologi kiadások</t>
  </si>
  <si>
    <t>Ellátottak pénzbeli juttatásai</t>
  </si>
  <si>
    <t>Egyéb működési célú kiadások</t>
  </si>
  <si>
    <t>Beruházások</t>
  </si>
  <si>
    <t>Felújitások</t>
  </si>
  <si>
    <t>Egyéb felhalmozási célú kiadások</t>
  </si>
  <si>
    <t>Finanszírozási kiadások</t>
  </si>
  <si>
    <t>Költségvetési</t>
  </si>
  <si>
    <t>I. Kötelező feladatok</t>
  </si>
  <si>
    <t>I./1) Önkormányzati jogalkotás</t>
  </si>
  <si>
    <t>I./2) Köztemető fenntartás és működtetés</t>
  </si>
  <si>
    <t>I./3) Közfoglalkoztatás</t>
  </si>
  <si>
    <t>I./4) Közutak, hidak üzemeltetése, fenntartása</t>
  </si>
  <si>
    <t>I./5) Települési hulladék begyűjtése</t>
  </si>
  <si>
    <t>I./6) Közvilágítás</t>
  </si>
  <si>
    <t>I./7) Város- és községgazdálkodás</t>
  </si>
  <si>
    <t>I./8) Háziorvosi alapellátás</t>
  </si>
  <si>
    <t>I./9) Közművelődési intézmények, közösségi színterek működtetése</t>
  </si>
  <si>
    <t>I./10) Iskolai étkeztetés</t>
  </si>
  <si>
    <t>I./11) Intézményen kívüli gyermekétkeztetés</t>
  </si>
  <si>
    <t>Önkormányzatok elszámolásai költségvetési szerveikkel:</t>
  </si>
  <si>
    <t>II. Önként vállalt feladatok</t>
  </si>
  <si>
    <t>II./1) Civil szervezetek működési támogatása</t>
  </si>
  <si>
    <t>II./2) Sportlétesítmények működtetése</t>
  </si>
  <si>
    <t>1.1. Hirdetési díjbevétel</t>
  </si>
  <si>
    <t>1.2. Általános forgalmi adó</t>
  </si>
  <si>
    <t>3.1. Magánszemélyek kommunális adója</t>
  </si>
  <si>
    <t>3.2. Iparűzési tevékenység után fizetett helyi iparűzési adó</t>
  </si>
  <si>
    <t>3.3. Talajterhelési díj</t>
  </si>
  <si>
    <t xml:space="preserve">1. </t>
  </si>
  <si>
    <t>Működési célú támogatások államháztartáson belülről</t>
  </si>
  <si>
    <t>1.1.</t>
  </si>
  <si>
    <t>1.2.</t>
  </si>
  <si>
    <t>1.3.</t>
  </si>
  <si>
    <t>1.4.</t>
  </si>
  <si>
    <t xml:space="preserve"> Helyi önkormányzatok működésének általános támogatása</t>
  </si>
  <si>
    <t>Köznevelési feladatok támogatása</t>
  </si>
  <si>
    <t>Szociális, gyermekjóléti és gyermekétkeztetési feladatok támogatása</t>
  </si>
  <si>
    <t>Kulturális feladatok támogatása</t>
  </si>
  <si>
    <t xml:space="preserve">2. </t>
  </si>
  <si>
    <t>Működési célú pénzeszköz átvétel</t>
  </si>
  <si>
    <t>2.1.</t>
  </si>
  <si>
    <t>2.2.</t>
  </si>
  <si>
    <t>2.3.</t>
  </si>
  <si>
    <t>2.4.</t>
  </si>
  <si>
    <t>3.</t>
  </si>
  <si>
    <t xml:space="preserve"> Közhatalmi bevételek</t>
  </si>
  <si>
    <t>Társadalombiztosítási Alaptól</t>
  </si>
  <si>
    <t>Elkülönített állami pénzalaptól</t>
  </si>
  <si>
    <t>Egyéb működési célú átvett pénzeszköz</t>
  </si>
  <si>
    <t>Iparűzési adókedvezmény miatti működési célú támogatás</t>
  </si>
  <si>
    <t>3.1.</t>
  </si>
  <si>
    <t>3.2.</t>
  </si>
  <si>
    <t>3.3.</t>
  </si>
  <si>
    <t>4.1.</t>
  </si>
  <si>
    <t>4.2.</t>
  </si>
  <si>
    <t>4.3.</t>
  </si>
  <si>
    <t>4.4.</t>
  </si>
  <si>
    <t>4.5.</t>
  </si>
  <si>
    <t>4.</t>
  </si>
  <si>
    <t>Működési bevételek</t>
  </si>
  <si>
    <t>Készletértékesítés ellenértéke</t>
  </si>
  <si>
    <t>Szolgáltatások ellenértéke</t>
  </si>
  <si>
    <t>Bérleti és lízing díjak</t>
  </si>
  <si>
    <t>Ellátási díjak</t>
  </si>
  <si>
    <t>Kiszámlázott általános forgalmi adó</t>
  </si>
  <si>
    <t xml:space="preserve">5. </t>
  </si>
  <si>
    <t>5.1.</t>
  </si>
  <si>
    <t>5.2.</t>
  </si>
  <si>
    <t>Felhalmozási célú bevételek</t>
  </si>
  <si>
    <t>Felhalmozási célú támogatási kölcsönök visszatérülése</t>
  </si>
  <si>
    <t>Egyéb felhalmozási célú támogatások bevételei</t>
  </si>
  <si>
    <t>Maradvány igénybevétele</t>
  </si>
  <si>
    <t>Előző évi maradvány igénybevétele</t>
  </si>
  <si>
    <t>Finanszírozási bevételek</t>
  </si>
  <si>
    <t>Államháztartáson belüli megelőlegezések</t>
  </si>
  <si>
    <t xml:space="preserve">3. </t>
  </si>
  <si>
    <t>Központi, irányító szervi támogatás</t>
  </si>
  <si>
    <t>1.</t>
  </si>
  <si>
    <t>2</t>
  </si>
  <si>
    <t>Egyéb működési bevételek</t>
  </si>
  <si>
    <t>3</t>
  </si>
  <si>
    <t xml:space="preserve">4. </t>
  </si>
  <si>
    <t xml:space="preserve"> Önkormányzati jogalkotás</t>
  </si>
  <si>
    <t>Önkormányzati vagyonnal való gazdálkodás</t>
  </si>
  <si>
    <t>Köztemető-fenntartás és -működtetés</t>
  </si>
  <si>
    <t>Gyermekétkeztetés</t>
  </si>
  <si>
    <t>4.2</t>
  </si>
  <si>
    <t>Temetői szolgáltatások ellenértéke</t>
  </si>
  <si>
    <t>Általános forgalmi adó</t>
  </si>
  <si>
    <t>Bérleti díjak</t>
  </si>
  <si>
    <t>Készletértékesítés</t>
  </si>
  <si>
    <t>Megnevezése</t>
  </si>
  <si>
    <t>Önkormányzati jogalkotás</t>
  </si>
  <si>
    <t>Óvodai, bölcsődei étkezés, gondozás</t>
  </si>
  <si>
    <t>Szociális étkezés</t>
  </si>
  <si>
    <t>Házi segítségnyújtás</t>
  </si>
  <si>
    <t>Működési célú támogatás államháztartáson belülről</t>
  </si>
  <si>
    <t>Közfoglalkoztatás támogatása</t>
  </si>
  <si>
    <t>Funkció</t>
  </si>
  <si>
    <t>2. Óvodai nevelés</t>
  </si>
  <si>
    <t>3. Bölcsődei nevelés</t>
  </si>
  <si>
    <t>1. Óvodai intézményi gyermekétkeztetés</t>
  </si>
  <si>
    <t>4. Bölcsődei intézményi gyermekétkeztetés</t>
  </si>
  <si>
    <t>1.1. Önkormányzati jogalkotás</t>
  </si>
  <si>
    <t>1. Üzemeltetési és egyéb szolgáltatás</t>
  </si>
  <si>
    <t>2. Család- és gyermekjóléti szolgáltatás</t>
  </si>
  <si>
    <t>3. Közművelődési intézmények és közösségi színterek működtetése</t>
  </si>
  <si>
    <t>4. Házi segítségnyújtás</t>
  </si>
  <si>
    <t>5. Szociális étkezés</t>
  </si>
  <si>
    <t>6. Hosszabb időtartamú közfoglalkoztatás</t>
  </si>
  <si>
    <t>2023. évi eredeti</t>
  </si>
  <si>
    <t>5.Óvodai nevelés, ellátás működtetési feladatai</t>
  </si>
  <si>
    <t>1.1. Számítógép konfiguráció</t>
  </si>
  <si>
    <t>II./3) Forgatási és befektetési célú finanszírozási műveletek</t>
  </si>
  <si>
    <t>II./4) Szennyvíz gyűjtése, tisztítása, elhelyezése</t>
  </si>
  <si>
    <t>Baracs Község Önkormányzata</t>
  </si>
  <si>
    <t>Baracsi Polgármesteri Hivatal</t>
  </si>
  <si>
    <t>Baracsi Négy Vándor Óvoda és Hétpettyes Bölcsőde</t>
  </si>
  <si>
    <t>Baracsi Népjóléti Intézmény</t>
  </si>
  <si>
    <t>2023. évi módosított</t>
  </si>
  <si>
    <t>I./12) Önkormányzati vagyonnal való gazdálkodás</t>
  </si>
  <si>
    <t>I./13) Család- és nővédelmi egészségügyi gondozás</t>
  </si>
  <si>
    <t>I./14) Települési támogatás</t>
  </si>
  <si>
    <t>I./15) Zöldterület-kezelés</t>
  </si>
  <si>
    <t>I./16) Könyvtári szolgáltatások</t>
  </si>
  <si>
    <t>I./17) Könyvtári állomány gyarapítása</t>
  </si>
  <si>
    <t>I./18) Önkormányzat által nyújtott lakástámogatások</t>
  </si>
  <si>
    <t>I./19) Fogorvosi alapellátás</t>
  </si>
  <si>
    <t>I./20) Fogorvosi ügyeleti ellátás</t>
  </si>
  <si>
    <t>I./21) Háziorvosi ügyeleti ellátás</t>
  </si>
  <si>
    <t>I/22) Központi költségvetéssel szembeni elszámolások, elvonások, befizetések</t>
  </si>
  <si>
    <t>I/23) Család- és gyermekjólét</t>
  </si>
  <si>
    <t>I/24) Vízellátással kapcsolatos közmű</t>
  </si>
  <si>
    <t>I/25) Óvodai nevelés, ellátás</t>
  </si>
  <si>
    <t>I./27) Baracsi Polgármesteri Hivatal</t>
  </si>
  <si>
    <t>I./28) Baracsi Négy Vándor Óvoda</t>
  </si>
  <si>
    <t>I./29) Baracsi Népjóléti Intézmény</t>
  </si>
  <si>
    <t>I/26) Vízellátással kapcsolatos közmű</t>
  </si>
  <si>
    <t>1</t>
  </si>
  <si>
    <t>6</t>
  </si>
  <si>
    <t>6.1.</t>
  </si>
  <si>
    <t>6.2.</t>
  </si>
  <si>
    <t>2. Fogorvosi alapellátás</t>
  </si>
  <si>
    <t>2.1. Fogászati kezelőegység beszerzés</t>
  </si>
  <si>
    <t>3. Közutak, hidak építése, fenntartása, üzemeltetése</t>
  </si>
  <si>
    <t>Iskolai intézményi gyermekétkeztetés</t>
  </si>
  <si>
    <t>Város- és községgazdálkodás</t>
  </si>
  <si>
    <t>Közművelődési intézmények, közösségi színterek működtetése</t>
  </si>
  <si>
    <t>Közfoglalkoztatás</t>
  </si>
  <si>
    <t>Összesen:</t>
  </si>
  <si>
    <t>Óvodai intézményi étkezés</t>
  </si>
  <si>
    <t>Óvodai nevelés</t>
  </si>
  <si>
    <t>Bölcsődei nevelés</t>
  </si>
  <si>
    <t>Üzemeltetési és egyéb szolgáltatás</t>
  </si>
  <si>
    <t>Család és gyermekjóléti szolgáltatás</t>
  </si>
  <si>
    <t>Hosszabb időtartamú közfoglalkoztatás</t>
  </si>
  <si>
    <t>Költségvetési tartalék</t>
  </si>
  <si>
    <t>2024. évi eredeti előirányzat</t>
  </si>
  <si>
    <t>Védőnői Rendszer üzemeltetésével kapcsolatos bevételek</t>
  </si>
  <si>
    <t>5.</t>
  </si>
  <si>
    <t>Működési célú egyéb bevételek</t>
  </si>
  <si>
    <t>2024. évi eredeti</t>
  </si>
  <si>
    <t>1.1. Hálózatos, nagyteljesítményű nyomtató</t>
  </si>
  <si>
    <t>1.2. Páncélszekrény anyakönyvi feladatellátáshoz</t>
  </si>
  <si>
    <t>1. Közművelődési intézmények és közösségi színterek működtetése</t>
  </si>
  <si>
    <t>1.1. Légkondícionáló berendezés Faluház Irodába</t>
  </si>
  <si>
    <t>1.2. Mosogatószekrény Faluház személyzeti helyiség</t>
  </si>
  <si>
    <t>1.2. Óvodai udvari játékok</t>
  </si>
  <si>
    <t>3.1. TOP Belterületi utak fejlesztése, Liget sor</t>
  </si>
  <si>
    <t>3.2. Fűzfa utca felújítás, vízelvezetés tervezés</t>
  </si>
  <si>
    <t>4. Vízellátással kapcsolatos közmű</t>
  </si>
  <si>
    <t>4.1. Duna-part víz-, szennyvíz közmű tervezés</t>
  </si>
  <si>
    <t>Finanszírozási bevétel</t>
  </si>
  <si>
    <t>Működési bevételek összesen:</t>
  </si>
  <si>
    <t>Személyi juttatás</t>
  </si>
  <si>
    <t>Munkaadókat terhelő járulékok és szociális hozzájárulási adó</t>
  </si>
  <si>
    <t>Működési kiadások összesen:</t>
  </si>
  <si>
    <t>Beruházás</t>
  </si>
  <si>
    <t>Felhalmozási célú kiadások összesen:</t>
  </si>
  <si>
    <t>Bevételek összesen:</t>
  </si>
  <si>
    <t>Kiadások összesen:</t>
  </si>
  <si>
    <t>Működési bevétel</t>
  </si>
  <si>
    <t>Közhatalmi bevételek</t>
  </si>
  <si>
    <t>Egyéb felhalmozási célú támogatások bevételei államháztartáson belülről</t>
  </si>
  <si>
    <t>Felhalmozási célú bevételek összesen:</t>
  </si>
  <si>
    <t>Beruházások, felújítások</t>
  </si>
  <si>
    <t>Egyéb felhalmozási kiadások</t>
  </si>
  <si>
    <t>Költségvetési év</t>
  </si>
  <si>
    <t>2024. évi nyitó létszám</t>
  </si>
  <si>
    <t>I./10) Intézményi gyermekétkeztetés</t>
  </si>
  <si>
    <t>I/22) Ifjúság-egészségügyi gondozás</t>
  </si>
  <si>
    <t>I/23) Központi költségvetéssel szembeni elszámolások, elvonások, befizetések</t>
  </si>
  <si>
    <t>I/24) Család- és gyermekjólét</t>
  </si>
  <si>
    <t>I/25) Vízellátással kapcsolatos közmű</t>
  </si>
  <si>
    <t>Általános működési bevételek</t>
  </si>
  <si>
    <t>Átvett pénzeszközök</t>
  </si>
  <si>
    <t>Felhalmozási bevételek</t>
  </si>
  <si>
    <t>BEVÉTELEK ÖSSZESEN</t>
  </si>
  <si>
    <t>Beruházás, felújítás</t>
  </si>
  <si>
    <t>Felhalmozási célú pénzeszköz átadás</t>
  </si>
  <si>
    <t>KIADÁSOK ÖSSZESEN</t>
  </si>
  <si>
    <t>Pénzeszköz átadás megnevezése</t>
  </si>
  <si>
    <t>1.1. oktatásban résztvevők pénzbeli juttatásai</t>
  </si>
  <si>
    <t>1.2. TÖOSZ tagdíj</t>
  </si>
  <si>
    <t>1.3. Mezőföldi HÍD Térségfejlesztő Egyesület tagdíj</t>
  </si>
  <si>
    <t>2. Egyéb önkormányzati eseti pénzbeli ellátások</t>
  </si>
  <si>
    <t>2.1. Települési támogatás</t>
  </si>
  <si>
    <t>2.2. Idősek karácsonyi segélyezése</t>
  </si>
  <si>
    <t>3. Civil szervezetek programtámogatása</t>
  </si>
  <si>
    <t>3.1. Civil szervezetek támogatása</t>
  </si>
  <si>
    <t>4. Vagyongazdálkodással kapcsolatos feladatok</t>
  </si>
  <si>
    <t>4.1. Első lakáshoz jutók támogatása</t>
  </si>
  <si>
    <t>5. Önkormányzatok elszámolásai a központi költségvetéssel</t>
  </si>
  <si>
    <t>5.1. Önkormányzati szolidaritási hozzájárulás</t>
  </si>
  <si>
    <t>2.3. Újszülöttek támogatása</t>
  </si>
  <si>
    <t>1.4. Duna Településszövetség</t>
  </si>
  <si>
    <t>1.5. Magyar Limes Szövetség Kulturális Egyesület</t>
  </si>
  <si>
    <t>6. Nem közművel összegyűjtött háztartási szennyvíz ártalmatlanítása 
- lakosság részére, díjhoz nyújtott támogatás</t>
  </si>
  <si>
    <t>I/26) Szennyvíz gyűjtése, tisztítása, elhelyezése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</si>
</sst>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Ft&quot;_-;\-* #,##0.00\ &quot;Ft&quot;_-;_-* &quot;-&quot;??\ &quot;Ft&quot;_-;_-@_-"/>
    <numFmt numFmtId="164" formatCode="#,##0\ &quot;Ft&quot;"/>
    <numFmt numFmtId="165" formatCode="_-* #,##0\ &quot;Ft&quot;_-;\-* #,##0\ &quot;Ft&quot;_-;_-* &quot;-&quot;??\ &quot;Ft&quot;_-;_-@_-"/>
    <numFmt numFmtId="166" formatCode="_-* #,##0\ [$Ft-40E]_-;\-* #,##0\ [$Ft-40E]_-;_-* &quot;-&quot;??\ [$Ft-40E]_-;_-@_-"/>
    <numFmt numFmtId="167" formatCode="#,##0_ ;\-#,##0\ 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sz val="7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5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83">
    <xf numFmtId="0" fontId="0" fillId="0" borderId="0" xfId="0"/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/>
    <xf numFmtId="0" fontId="7" fillId="0" borderId="4" xfId="0" applyFont="1" applyBorder="1" applyAlignment="1">
      <alignment horizontal="justify" vertical="center" wrapText="1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19" xfId="0" applyFont="1" applyBorder="1" applyAlignment="1">
      <alignment horizontal="justify" vertical="center" wrapText="1"/>
    </xf>
    <xf numFmtId="49" fontId="7" fillId="0" borderId="8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2" xfId="0" applyFont="1" applyBorder="1" applyAlignment="1">
      <alignment horizontal="justify" vertical="center" wrapText="1"/>
    </xf>
    <xf numFmtId="164" fontId="7" fillId="0" borderId="9" xfId="0" applyNumberFormat="1" applyFont="1" applyBorder="1" applyAlignment="1">
      <alignment horizontal="right" vertical="center" wrapText="1"/>
    </xf>
    <xf numFmtId="164" fontId="7" fillId="0" borderId="10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7" fillId="0" borderId="12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164" fontId="7" fillId="0" borderId="21" xfId="0" applyNumberFormat="1" applyFont="1" applyBorder="1" applyAlignment="1">
      <alignment horizontal="right" vertical="center" wrapText="1"/>
    </xf>
    <xf numFmtId="49" fontId="7" fillId="0" borderId="18" xfId="0" applyNumberFormat="1" applyFont="1" applyBorder="1" applyAlignment="1">
      <alignment horizontal="right" vertical="center" wrapText="1"/>
    </xf>
    <xf numFmtId="49" fontId="7" fillId="0" borderId="11" xfId="0" applyNumberFormat="1" applyFont="1" applyBorder="1" applyAlignment="1">
      <alignment horizontal="right" vertical="center" wrapText="1"/>
    </xf>
    <xf numFmtId="49" fontId="7" fillId="0" borderId="22" xfId="0" applyNumberFormat="1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49" fontId="7" fillId="0" borderId="22" xfId="0" applyNumberFormat="1" applyFont="1" applyBorder="1" applyAlignment="1">
      <alignment horizontal="left" vertical="center" wrapText="1"/>
    </xf>
    <xf numFmtId="0" fontId="7" fillId="0" borderId="21" xfId="0" applyFont="1" applyBorder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2" xfId="0" applyFont="1" applyBorder="1" applyAlignment="1">
      <alignment horizontal="justify" vertical="center" wrapText="1"/>
    </xf>
    <xf numFmtId="164" fontId="9" fillId="0" borderId="9" xfId="0" applyNumberFormat="1" applyFont="1" applyBorder="1" applyAlignment="1">
      <alignment horizontal="right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justify" vertical="center" wrapText="1"/>
    </xf>
    <xf numFmtId="164" fontId="9" fillId="0" borderId="2" xfId="0" applyNumberFormat="1" applyFont="1" applyBorder="1" applyAlignment="1">
      <alignment horizontal="right" vertical="center" wrapText="1"/>
    </xf>
    <xf numFmtId="49" fontId="9" fillId="0" borderId="8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49" fontId="9" fillId="0" borderId="2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6" fillId="0" borderId="0" xfId="0" applyFont="1" applyAlignment="1">
      <alignment horizontal="justify" vertical="center" wrapText="1"/>
    </xf>
    <xf numFmtId="3" fontId="6" fillId="0" borderId="0" xfId="0" applyNumberFormat="1" applyFont="1" applyAlignment="1">
      <alignment horizontal="right" wrapText="1"/>
    </xf>
    <xf numFmtId="164" fontId="6" fillId="0" borderId="1" xfId="0" applyNumberFormat="1" applyFont="1" applyBorder="1" applyAlignment="1">
      <alignment horizontal="right" wrapText="1"/>
    </xf>
    <xf numFmtId="0" fontId="1" fillId="0" borderId="0" xfId="0" applyFont="1"/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justify" vertical="center" wrapText="1"/>
    </xf>
    <xf numFmtId="164" fontId="9" fillId="0" borderId="24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7" fillId="0" borderId="8" xfId="0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right" vertical="center" wrapText="1"/>
    </xf>
    <xf numFmtId="165" fontId="6" fillId="0" borderId="1" xfId="1" applyNumberFormat="1" applyFont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164" fontId="7" fillId="0" borderId="26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6" fillId="0" borderId="9" xfId="0" applyNumberFormat="1" applyFont="1" applyBorder="1" applyAlignment="1">
      <alignment horizontal="right" vertical="center" wrapText="1"/>
    </xf>
    <xf numFmtId="164" fontId="6" fillId="0" borderId="10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164" fontId="6" fillId="0" borderId="21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right" vertical="center" wrapText="1"/>
    </xf>
    <xf numFmtId="164" fontId="7" fillId="0" borderId="9" xfId="0" applyNumberFormat="1" applyFont="1" applyBorder="1" applyAlignment="1">
      <alignment horizontal="right" vertical="top" wrapText="1"/>
    </xf>
    <xf numFmtId="164" fontId="7" fillId="0" borderId="12" xfId="0" applyNumberFormat="1" applyFont="1" applyBorder="1" applyAlignment="1">
      <alignment horizontal="right" vertical="top" wrapText="1"/>
    </xf>
    <xf numFmtId="164" fontId="7" fillId="0" borderId="1" xfId="0" applyNumberFormat="1" applyFont="1" applyBorder="1" applyAlignment="1">
      <alignment horizontal="right" vertical="top" wrapText="1"/>
    </xf>
    <xf numFmtId="164" fontId="7" fillId="0" borderId="2" xfId="0" applyNumberFormat="1" applyFont="1" applyBorder="1" applyAlignment="1">
      <alignment horizontal="right" vertical="top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7" fillId="2" borderId="12" xfId="0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7" fillId="2" borderId="26" xfId="0" applyNumberFormat="1" applyFont="1" applyFill="1" applyBorder="1" applyAlignment="1">
      <alignment horizontal="right" vertical="center" wrapText="1"/>
    </xf>
    <xf numFmtId="164" fontId="7" fillId="2" borderId="12" xfId="0" applyNumberFormat="1" applyFont="1" applyFill="1" applyBorder="1" applyAlignment="1">
      <alignment horizontal="right" vertical="top" wrapText="1"/>
    </xf>
    <xf numFmtId="164" fontId="7" fillId="2" borderId="1" xfId="0" applyNumberFormat="1" applyFont="1" applyFill="1" applyBorder="1" applyAlignment="1">
      <alignment horizontal="right" vertical="top" wrapText="1"/>
    </xf>
    <xf numFmtId="164" fontId="6" fillId="2" borderId="26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165" fontId="13" fillId="0" borderId="1" xfId="1" applyNumberFormat="1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4" fillId="0" borderId="0" xfId="0" applyFont="1"/>
    <xf numFmtId="0" fontId="7" fillId="0" borderId="2" xfId="0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164" fontId="9" fillId="0" borderId="29" xfId="0" applyNumberFormat="1" applyFont="1" applyBorder="1" applyAlignment="1">
      <alignment horizontal="right" vertical="center" wrapText="1"/>
    </xf>
    <xf numFmtId="0" fontId="0" fillId="3" borderId="0" xfId="0" applyFill="1"/>
    <xf numFmtId="49" fontId="7" fillId="0" borderId="1" xfId="0" applyNumberFormat="1" applyFont="1" applyBorder="1" applyAlignment="1">
      <alignment vertical="center" wrapText="1"/>
    </xf>
    <xf numFmtId="0" fontId="13" fillId="3" borderId="0" xfId="0" applyFont="1" applyFill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3" borderId="0" xfId="0" applyFont="1" applyFill="1"/>
    <xf numFmtId="49" fontId="9" fillId="0" borderId="18" xfId="0" applyNumberFormat="1" applyFont="1" applyBorder="1" applyAlignment="1">
      <alignment horizontal="right" vertical="center" wrapText="1"/>
    </xf>
    <xf numFmtId="49" fontId="9" fillId="0" borderId="14" xfId="0" applyNumberFormat="1" applyFont="1" applyBorder="1" applyAlignment="1">
      <alignment horizontal="right" vertical="center" wrapText="1"/>
    </xf>
    <xf numFmtId="49" fontId="9" fillId="0" borderId="25" xfId="0" applyNumberFormat="1" applyFont="1" applyBorder="1" applyAlignment="1">
      <alignment horizontal="right" vertical="center" wrapText="1"/>
    </xf>
    <xf numFmtId="49" fontId="9" fillId="0" borderId="11" xfId="0" applyNumberFormat="1" applyFont="1" applyBorder="1" applyAlignment="1">
      <alignment horizontal="right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top" wrapText="1"/>
    </xf>
    <xf numFmtId="3" fontId="7" fillId="0" borderId="0" xfId="0" applyNumberFormat="1" applyFont="1"/>
    <xf numFmtId="0" fontId="4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0" borderId="15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vertical="center" wrapText="1"/>
    </xf>
    <xf numFmtId="166" fontId="2" fillId="0" borderId="1" xfId="1" applyNumberFormat="1" applyFont="1" applyFill="1" applyBorder="1" applyAlignment="1">
      <alignment vertical="center" wrapText="1"/>
    </xf>
    <xf numFmtId="167" fontId="3" fillId="0" borderId="1" xfId="1" applyNumberFormat="1" applyFont="1" applyFill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167" fontId="3" fillId="0" borderId="1" xfId="1" applyNumberFormat="1" applyFont="1" applyFill="1" applyBorder="1" applyAlignment="1">
      <alignment horizontal="right" vertical="center" wrapText="1"/>
    </xf>
    <xf numFmtId="167" fontId="2" fillId="0" borderId="1" xfId="1" applyNumberFormat="1" applyFont="1" applyFill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right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164" fontId="0" fillId="0" borderId="3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 wrapText="1"/>
    </xf>
    <xf numFmtId="164" fontId="0" fillId="0" borderId="29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vertical="center" wrapText="1"/>
    </xf>
    <xf numFmtId="164" fontId="0" fillId="0" borderId="24" xfId="0" applyNumberForma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3:D71"/>
  <sheetViews>
    <sheetView topLeftCell="A13" zoomScale="115" zoomScaleNormal="115" zoomScaleSheetLayoutView="130" workbookViewId="0">
      <selection activeCell="F28" sqref="F28"/>
    </sheetView>
  </sheetViews>
  <sheetFormatPr defaultRowHeight="15" x14ac:dyDescent="0.25"/>
  <cols>
    <col min="1" max="1" width="9.140625" style="93"/>
    <col min="2" max="2" width="5.140625" style="93" bestFit="1" customWidth="1"/>
    <col min="3" max="3" width="39.85546875" style="93" customWidth="1"/>
    <col min="4" max="4" width="19.140625" style="93" customWidth="1"/>
    <col min="5" max="5" width="11.7109375" style="93" bestFit="1" customWidth="1"/>
    <col min="6" max="16384" width="9.140625" style="93"/>
  </cols>
  <sheetData>
    <row r="3" spans="1:4" x14ac:dyDescent="0.25">
      <c r="A3" s="107"/>
      <c r="B3" s="93" t="s">
        <v>164</v>
      </c>
    </row>
    <row r="6" spans="1:4" ht="15.75" thickBot="1" x14ac:dyDescent="0.3">
      <c r="B6" s="101"/>
      <c r="C6" s="15" t="s">
        <v>15</v>
      </c>
      <c r="D6" s="101" t="s">
        <v>206</v>
      </c>
    </row>
    <row r="7" spans="1:4" ht="15" customHeight="1" x14ac:dyDescent="0.25">
      <c r="B7" s="10" t="s">
        <v>77</v>
      </c>
      <c r="C7" s="11" t="s">
        <v>78</v>
      </c>
      <c r="D7" s="18">
        <f>SUM(D8:D11)</f>
        <v>306246352</v>
      </c>
    </row>
    <row r="8" spans="1:4" x14ac:dyDescent="0.25">
      <c r="B8" s="24" t="s">
        <v>79</v>
      </c>
      <c r="C8" s="8" t="s">
        <v>83</v>
      </c>
      <c r="D8" s="20">
        <v>113979481</v>
      </c>
    </row>
    <row r="9" spans="1:4" x14ac:dyDescent="0.25">
      <c r="B9" s="24" t="s">
        <v>80</v>
      </c>
      <c r="C9" s="8" t="s">
        <v>84</v>
      </c>
      <c r="D9" s="20">
        <v>90806089</v>
      </c>
    </row>
    <row r="10" spans="1:4" x14ac:dyDescent="0.25">
      <c r="B10" s="24" t="s">
        <v>81</v>
      </c>
      <c r="C10" s="8" t="s">
        <v>85</v>
      </c>
      <c r="D10" s="20">
        <v>93347924</v>
      </c>
    </row>
    <row r="11" spans="1:4" ht="15.75" thickBot="1" x14ac:dyDescent="0.3">
      <c r="B11" s="24" t="s">
        <v>82</v>
      </c>
      <c r="C11" s="8" t="s">
        <v>86</v>
      </c>
      <c r="D11" s="20">
        <v>8112858</v>
      </c>
    </row>
    <row r="12" spans="1:4" ht="15" customHeight="1" x14ac:dyDescent="0.25">
      <c r="B12" s="13" t="s">
        <v>87</v>
      </c>
      <c r="C12" s="11" t="s">
        <v>88</v>
      </c>
      <c r="D12" s="18">
        <f>SUM(D13:D16)</f>
        <v>77331168</v>
      </c>
    </row>
    <row r="13" spans="1:4" x14ac:dyDescent="0.25">
      <c r="B13" s="24" t="s">
        <v>89</v>
      </c>
      <c r="C13" s="8" t="s">
        <v>95</v>
      </c>
      <c r="D13" s="20">
        <v>174000</v>
      </c>
    </row>
    <row r="14" spans="1:4" x14ac:dyDescent="0.25">
      <c r="B14" s="24" t="s">
        <v>90</v>
      </c>
      <c r="C14" s="8" t="s">
        <v>98</v>
      </c>
      <c r="D14" s="20">
        <v>5000000</v>
      </c>
    </row>
    <row r="15" spans="1:4" x14ac:dyDescent="0.25">
      <c r="B15" s="24" t="s">
        <v>91</v>
      </c>
      <c r="C15" s="8" t="s">
        <v>96</v>
      </c>
      <c r="D15" s="20">
        <v>1384692</v>
      </c>
    </row>
    <row r="16" spans="1:4" ht="15.75" thickBot="1" x14ac:dyDescent="0.3">
      <c r="B16" s="25" t="s">
        <v>92</v>
      </c>
      <c r="C16" s="12" t="s">
        <v>97</v>
      </c>
      <c r="D16" s="21">
        <f>19540906+4231570+47000000</f>
        <v>70772476</v>
      </c>
    </row>
    <row r="17" spans="2:4" ht="15" customHeight="1" x14ac:dyDescent="0.25">
      <c r="B17" s="13" t="s">
        <v>93</v>
      </c>
      <c r="C17" s="11" t="s">
        <v>94</v>
      </c>
      <c r="D17" s="18">
        <f>SUM(D18:D20)</f>
        <v>122500000</v>
      </c>
    </row>
    <row r="18" spans="2:4" x14ac:dyDescent="0.25">
      <c r="B18" s="24" t="s">
        <v>99</v>
      </c>
      <c r="C18" s="8" t="s">
        <v>74</v>
      </c>
      <c r="D18" s="20">
        <v>12000000</v>
      </c>
    </row>
    <row r="19" spans="2:4" x14ac:dyDescent="0.25">
      <c r="B19" s="24" t="s">
        <v>100</v>
      </c>
      <c r="C19" s="8" t="s">
        <v>75</v>
      </c>
      <c r="D19" s="20">
        <v>110000000</v>
      </c>
    </row>
    <row r="20" spans="2:4" ht="15.75" thickBot="1" x14ac:dyDescent="0.3">
      <c r="B20" s="24" t="s">
        <v>101</v>
      </c>
      <c r="C20" s="8" t="s">
        <v>76</v>
      </c>
      <c r="D20" s="20">
        <v>500000</v>
      </c>
    </row>
    <row r="21" spans="2:4" ht="15" customHeight="1" x14ac:dyDescent="0.25">
      <c r="B21" s="13" t="s">
        <v>107</v>
      </c>
      <c r="C21" s="11" t="s">
        <v>108</v>
      </c>
      <c r="D21" s="18">
        <f>SUM(D22:D26)</f>
        <v>41637246</v>
      </c>
    </row>
    <row r="22" spans="2:4" x14ac:dyDescent="0.25">
      <c r="B22" s="24" t="s">
        <v>102</v>
      </c>
      <c r="C22" s="8" t="s">
        <v>109</v>
      </c>
      <c r="D22" s="20">
        <v>50000</v>
      </c>
    </row>
    <row r="23" spans="2:4" x14ac:dyDescent="0.25">
      <c r="B23" s="24" t="s">
        <v>103</v>
      </c>
      <c r="C23" s="8" t="s">
        <v>110</v>
      </c>
      <c r="D23" s="20">
        <v>3570000</v>
      </c>
    </row>
    <row r="24" spans="2:4" x14ac:dyDescent="0.25">
      <c r="B24" s="24" t="s">
        <v>104</v>
      </c>
      <c r="C24" s="8" t="s">
        <v>111</v>
      </c>
      <c r="D24" s="20">
        <v>24000629</v>
      </c>
    </row>
    <row r="25" spans="2:4" x14ac:dyDescent="0.25">
      <c r="B25" s="24" t="s">
        <v>105</v>
      </c>
      <c r="C25" s="8" t="s">
        <v>112</v>
      </c>
      <c r="D25" s="20">
        <v>9367475</v>
      </c>
    </row>
    <row r="26" spans="2:4" ht="15.75" thickBot="1" x14ac:dyDescent="0.3">
      <c r="B26" s="25" t="s">
        <v>106</v>
      </c>
      <c r="C26" s="12" t="s">
        <v>113</v>
      </c>
      <c r="D26" s="21">
        <v>4649142</v>
      </c>
    </row>
    <row r="27" spans="2:4" ht="15" customHeight="1" x14ac:dyDescent="0.25">
      <c r="B27" s="13" t="s">
        <v>114</v>
      </c>
      <c r="C27" s="11" t="s">
        <v>117</v>
      </c>
      <c r="D27" s="18">
        <f>SUM(D28:D29)</f>
        <v>161337761</v>
      </c>
    </row>
    <row r="28" spans="2:4" x14ac:dyDescent="0.25">
      <c r="B28" s="24" t="s">
        <v>115</v>
      </c>
      <c r="C28" s="8" t="s">
        <v>118</v>
      </c>
      <c r="D28" s="20">
        <v>49920</v>
      </c>
    </row>
    <row r="29" spans="2:4" ht="15.75" thickBot="1" x14ac:dyDescent="0.3">
      <c r="B29" s="25" t="s">
        <v>116</v>
      </c>
      <c r="C29" s="12" t="s">
        <v>119</v>
      </c>
      <c r="D29" s="21">
        <v>161287841</v>
      </c>
    </row>
    <row r="30" spans="2:4" ht="15" customHeight="1" x14ac:dyDescent="0.25">
      <c r="B30" s="13" t="s">
        <v>188</v>
      </c>
      <c r="C30" s="16" t="s">
        <v>122</v>
      </c>
      <c r="D30" s="18">
        <f>SUM(D31:D32)</f>
        <v>112249854</v>
      </c>
    </row>
    <row r="31" spans="2:4" x14ac:dyDescent="0.25">
      <c r="B31" s="24" t="s">
        <v>189</v>
      </c>
      <c r="C31" s="4" t="s">
        <v>121</v>
      </c>
      <c r="D31" s="20">
        <v>100000000</v>
      </c>
    </row>
    <row r="32" spans="2:4" ht="15.75" thickBot="1" x14ac:dyDescent="0.3">
      <c r="B32" s="25" t="s">
        <v>190</v>
      </c>
      <c r="C32" s="17" t="s">
        <v>123</v>
      </c>
      <c r="D32" s="21">
        <v>12249854</v>
      </c>
    </row>
    <row r="33" spans="1:4" ht="25.5" customHeight="1" thickBot="1" x14ac:dyDescent="0.3">
      <c r="B33" s="164" t="s">
        <v>29</v>
      </c>
      <c r="C33" s="165"/>
      <c r="D33" s="78">
        <f>SUM(D30,D27,D21,D17,D12,D7)</f>
        <v>821302381</v>
      </c>
    </row>
    <row r="35" spans="1:4" x14ac:dyDescent="0.25">
      <c r="D35" s="108"/>
    </row>
    <row r="36" spans="1:4" x14ac:dyDescent="0.25">
      <c r="A36" s="107"/>
      <c r="B36" s="93" t="s">
        <v>165</v>
      </c>
    </row>
    <row r="38" spans="1:4" s="91" customFormat="1" ht="15.75" thickBot="1" x14ac:dyDescent="0.3">
      <c r="B38" s="101"/>
      <c r="C38" s="101" t="s">
        <v>15</v>
      </c>
      <c r="D38" s="101" t="s">
        <v>206</v>
      </c>
    </row>
    <row r="39" spans="1:4" x14ac:dyDescent="0.25">
      <c r="B39" s="13" t="s">
        <v>187</v>
      </c>
      <c r="C39" s="16" t="s">
        <v>108</v>
      </c>
      <c r="D39" s="18">
        <v>610000</v>
      </c>
    </row>
    <row r="40" spans="1:4" x14ac:dyDescent="0.25">
      <c r="B40" s="24" t="s">
        <v>79</v>
      </c>
      <c r="C40" s="2" t="s">
        <v>110</v>
      </c>
      <c r="D40" s="20">
        <v>600000</v>
      </c>
    </row>
    <row r="41" spans="1:4" ht="15.75" thickBot="1" x14ac:dyDescent="0.3">
      <c r="B41" s="25" t="s">
        <v>80</v>
      </c>
      <c r="C41" s="27" t="s">
        <v>128</v>
      </c>
      <c r="D41" s="21">
        <v>10000</v>
      </c>
    </row>
    <row r="42" spans="1:4" ht="15.75" thickBot="1" x14ac:dyDescent="0.3">
      <c r="B42" s="28" t="s">
        <v>127</v>
      </c>
      <c r="C42" s="29" t="s">
        <v>121</v>
      </c>
      <c r="D42" s="23">
        <v>100000</v>
      </c>
    </row>
    <row r="43" spans="1:4" ht="15.75" thickBot="1" x14ac:dyDescent="0.3">
      <c r="B43" s="26" t="s">
        <v>129</v>
      </c>
      <c r="C43" s="29" t="s">
        <v>125</v>
      </c>
      <c r="D43" s="23">
        <v>81906256</v>
      </c>
    </row>
    <row r="44" spans="1:4" ht="21.75" customHeight="1" x14ac:dyDescent="0.25">
      <c r="B44" s="162" t="s">
        <v>29</v>
      </c>
      <c r="C44" s="163"/>
      <c r="D44" s="71">
        <f>SUM(D39,D42,D43)</f>
        <v>82616256</v>
      </c>
    </row>
    <row r="48" spans="1:4" x14ac:dyDescent="0.25">
      <c r="A48" s="107"/>
      <c r="B48" s="93" t="s">
        <v>166</v>
      </c>
    </row>
    <row r="50" spans="1:4" ht="23.25" customHeight="1" thickBot="1" x14ac:dyDescent="0.3">
      <c r="B50" s="101"/>
      <c r="C50" s="101" t="s">
        <v>15</v>
      </c>
      <c r="D50" s="101" t="s">
        <v>206</v>
      </c>
    </row>
    <row r="51" spans="1:4" ht="15.75" customHeight="1" x14ac:dyDescent="0.25">
      <c r="B51" s="13" t="s">
        <v>77</v>
      </c>
      <c r="C51" s="16" t="s">
        <v>108</v>
      </c>
      <c r="D51" s="18">
        <f>SUM(D52:D53)</f>
        <v>10066179</v>
      </c>
    </row>
    <row r="52" spans="1:4" x14ac:dyDescent="0.25">
      <c r="B52" s="24" t="s">
        <v>79</v>
      </c>
      <c r="C52" s="2" t="s">
        <v>112</v>
      </c>
      <c r="D52" s="20">
        <v>8971280</v>
      </c>
    </row>
    <row r="53" spans="1:4" ht="15.75" thickBot="1" x14ac:dyDescent="0.3">
      <c r="B53" s="24" t="s">
        <v>80</v>
      </c>
      <c r="C53" s="2" t="s">
        <v>113</v>
      </c>
      <c r="D53" s="20">
        <v>1094899</v>
      </c>
    </row>
    <row r="54" spans="1:4" ht="15.75" customHeight="1" thickBot="1" x14ac:dyDescent="0.3">
      <c r="B54" s="26" t="s">
        <v>87</v>
      </c>
      <c r="C54" s="29" t="s">
        <v>120</v>
      </c>
      <c r="D54" s="23">
        <v>1000000</v>
      </c>
    </row>
    <row r="55" spans="1:4" ht="15.75" customHeight="1" thickBot="1" x14ac:dyDescent="0.3">
      <c r="B55" s="26" t="s">
        <v>124</v>
      </c>
      <c r="C55" s="29" t="s">
        <v>125</v>
      </c>
      <c r="D55" s="23">
        <v>193859952</v>
      </c>
    </row>
    <row r="56" spans="1:4" ht="18.75" customHeight="1" x14ac:dyDescent="0.25">
      <c r="B56" s="161" t="s">
        <v>29</v>
      </c>
      <c r="C56" s="161"/>
      <c r="D56" s="71">
        <f>SUM(D51,D54,D55)</f>
        <v>204926131</v>
      </c>
    </row>
    <row r="61" spans="1:4" x14ac:dyDescent="0.25">
      <c r="A61" s="107"/>
      <c r="B61" s="93" t="s">
        <v>167</v>
      </c>
    </row>
    <row r="64" spans="1:4" ht="19.5" customHeight="1" thickBot="1" x14ac:dyDescent="0.3">
      <c r="B64" s="9"/>
      <c r="C64" s="101" t="s">
        <v>15</v>
      </c>
      <c r="D64" s="101" t="s">
        <v>206</v>
      </c>
    </row>
    <row r="65" spans="2:4" ht="15" customHeight="1" x14ac:dyDescent="0.25">
      <c r="B65" s="13" t="s">
        <v>77</v>
      </c>
      <c r="C65" s="16" t="s">
        <v>108</v>
      </c>
      <c r="D65" s="18">
        <f>SUM(D66:D67)</f>
        <v>13114314</v>
      </c>
    </row>
    <row r="66" spans="2:4" x14ac:dyDescent="0.25">
      <c r="B66" s="24" t="s">
        <v>79</v>
      </c>
      <c r="C66" s="2" t="s">
        <v>112</v>
      </c>
      <c r="D66" s="20">
        <v>10528200</v>
      </c>
    </row>
    <row r="67" spans="2:4" ht="15.75" thickBot="1" x14ac:dyDescent="0.3">
      <c r="B67" s="24" t="s">
        <v>80</v>
      </c>
      <c r="C67" s="2" t="s">
        <v>113</v>
      </c>
      <c r="D67" s="20">
        <v>2586114</v>
      </c>
    </row>
    <row r="68" spans="2:4" ht="15" customHeight="1" thickBot="1" x14ac:dyDescent="0.3">
      <c r="B68" s="26" t="s">
        <v>87</v>
      </c>
      <c r="C68" s="29" t="s">
        <v>145</v>
      </c>
      <c r="D68" s="23">
        <v>510250</v>
      </c>
    </row>
    <row r="69" spans="2:4" ht="15" customHeight="1" thickBot="1" x14ac:dyDescent="0.3">
      <c r="B69" s="26" t="s">
        <v>124</v>
      </c>
      <c r="C69" s="29" t="s">
        <v>120</v>
      </c>
      <c r="D69" s="23">
        <v>1000000</v>
      </c>
    </row>
    <row r="70" spans="2:4" ht="15" customHeight="1" thickBot="1" x14ac:dyDescent="0.3">
      <c r="B70" s="26" t="s">
        <v>130</v>
      </c>
      <c r="C70" s="29" t="s">
        <v>125</v>
      </c>
      <c r="D70" s="23">
        <v>90673449</v>
      </c>
    </row>
    <row r="71" spans="2:4" ht="25.5" customHeight="1" x14ac:dyDescent="0.25">
      <c r="B71" s="161" t="s">
        <v>29</v>
      </c>
      <c r="C71" s="161"/>
      <c r="D71" s="71">
        <f>SUM(D65,D68,D69,D70)</f>
        <v>105298013</v>
      </c>
    </row>
  </sheetData>
  <mergeCells count="4">
    <mergeCell ref="B71:C71"/>
    <mergeCell ref="B56:C56"/>
    <mergeCell ref="B44:C44"/>
    <mergeCell ref="B33:C33"/>
  </mergeCells>
  <pageMargins left="0.7" right="0.7" top="0.75" bottom="0.75" header="0.3" footer="0.3"/>
  <pageSetup paperSize="9" scale="93" orientation="portrait" r:id="rId1"/>
  <rowBreaks count="1" manualBreakCount="1">
    <brk id="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C41"/>
  <sheetViews>
    <sheetView topLeftCell="A16" zoomScaleNormal="100" workbookViewId="0">
      <selection activeCell="B34" sqref="B34:C41"/>
    </sheetView>
  </sheetViews>
  <sheetFormatPr defaultRowHeight="15" x14ac:dyDescent="0.25"/>
  <cols>
    <col min="1" max="1" width="9.140625" style="96"/>
    <col min="2" max="2" width="58.42578125" style="96" bestFit="1" customWidth="1"/>
    <col min="3" max="3" width="21.42578125" style="96" customWidth="1"/>
    <col min="4" max="16384" width="9.140625" style="96"/>
  </cols>
  <sheetData>
    <row r="2" spans="1:3" ht="21" x14ac:dyDescent="0.35">
      <c r="A2" s="109"/>
      <c r="B2" s="100" t="s">
        <v>164</v>
      </c>
    </row>
    <row r="3" spans="1:3" ht="21" x14ac:dyDescent="0.35">
      <c r="B3" s="100"/>
    </row>
    <row r="5" spans="1:3" s="91" customFormat="1" x14ac:dyDescent="0.25">
      <c r="B5" s="94" t="s">
        <v>147</v>
      </c>
      <c r="C5" s="94" t="s">
        <v>237</v>
      </c>
    </row>
    <row r="6" spans="1:3" x14ac:dyDescent="0.25">
      <c r="B6" s="98" t="s">
        <v>141</v>
      </c>
      <c r="C6" s="99">
        <v>1</v>
      </c>
    </row>
    <row r="7" spans="1:3" x14ac:dyDescent="0.25">
      <c r="B7" s="98" t="s">
        <v>195</v>
      </c>
      <c r="C7" s="99">
        <v>2</v>
      </c>
    </row>
    <row r="8" spans="1:3" x14ac:dyDescent="0.25">
      <c r="B8" s="98" t="s">
        <v>196</v>
      </c>
      <c r="C8" s="99">
        <v>1</v>
      </c>
    </row>
    <row r="9" spans="1:3" x14ac:dyDescent="0.25">
      <c r="B9" s="98" t="s">
        <v>197</v>
      </c>
      <c r="C9" s="99">
        <v>6</v>
      </c>
    </row>
    <row r="10" spans="1:3" x14ac:dyDescent="0.25">
      <c r="B10" s="98" t="s">
        <v>198</v>
      </c>
      <c r="C10" s="99">
        <f>SUM(C6:C9)</f>
        <v>10</v>
      </c>
    </row>
    <row r="13" spans="1:3" ht="21" x14ac:dyDescent="0.35">
      <c r="A13" s="109"/>
      <c r="B13" s="100" t="s">
        <v>165</v>
      </c>
    </row>
    <row r="16" spans="1:3" s="91" customFormat="1" x14ac:dyDescent="0.25">
      <c r="B16" s="94" t="s">
        <v>147</v>
      </c>
      <c r="C16" s="94" t="s">
        <v>237</v>
      </c>
    </row>
    <row r="17" spans="1:3" x14ac:dyDescent="0.25">
      <c r="B17" s="98" t="s">
        <v>141</v>
      </c>
      <c r="C17" s="99">
        <v>9</v>
      </c>
    </row>
    <row r="18" spans="1:3" x14ac:dyDescent="0.25">
      <c r="B18" s="98" t="s">
        <v>198</v>
      </c>
      <c r="C18" s="99">
        <v>9</v>
      </c>
    </row>
    <row r="21" spans="1:3" ht="21" x14ac:dyDescent="0.35">
      <c r="A21" s="109"/>
      <c r="B21" s="100" t="s">
        <v>166</v>
      </c>
    </row>
    <row r="24" spans="1:3" s="97" customFormat="1" x14ac:dyDescent="0.25">
      <c r="B24" s="99" t="s">
        <v>147</v>
      </c>
      <c r="C24" s="99" t="s">
        <v>237</v>
      </c>
    </row>
    <row r="25" spans="1:3" x14ac:dyDescent="0.25">
      <c r="B25" s="98" t="s">
        <v>199</v>
      </c>
      <c r="C25" s="99">
        <v>2</v>
      </c>
    </row>
    <row r="26" spans="1:3" x14ac:dyDescent="0.25">
      <c r="B26" s="98" t="s">
        <v>200</v>
      </c>
      <c r="C26" s="99">
        <v>13</v>
      </c>
    </row>
    <row r="27" spans="1:3" x14ac:dyDescent="0.25">
      <c r="B27" s="98" t="s">
        <v>201</v>
      </c>
      <c r="C27" s="99">
        <v>6</v>
      </c>
    </row>
    <row r="28" spans="1:3" x14ac:dyDescent="0.25">
      <c r="B28" s="98" t="s">
        <v>198</v>
      </c>
      <c r="C28" s="99">
        <f>SUM(C25:C27)</f>
        <v>21</v>
      </c>
    </row>
    <row r="31" spans="1:3" ht="21" x14ac:dyDescent="0.35">
      <c r="A31" s="109"/>
      <c r="B31" s="100" t="s">
        <v>167</v>
      </c>
    </row>
    <row r="34" spans="2:3" s="97" customFormat="1" x14ac:dyDescent="0.25">
      <c r="B34" s="99" t="s">
        <v>147</v>
      </c>
      <c r="C34" s="99" t="s">
        <v>237</v>
      </c>
    </row>
    <row r="35" spans="2:3" x14ac:dyDescent="0.25">
      <c r="B35" s="98" t="s">
        <v>202</v>
      </c>
      <c r="C35" s="99">
        <v>5</v>
      </c>
    </row>
    <row r="36" spans="2:3" x14ac:dyDescent="0.25">
      <c r="B36" s="98" t="s">
        <v>203</v>
      </c>
      <c r="C36" s="99">
        <v>2</v>
      </c>
    </row>
    <row r="37" spans="2:3" x14ac:dyDescent="0.25">
      <c r="B37" s="98" t="s">
        <v>196</v>
      </c>
      <c r="C37" s="99">
        <v>2</v>
      </c>
    </row>
    <row r="38" spans="2:3" x14ac:dyDescent="0.25">
      <c r="B38" s="98" t="s">
        <v>144</v>
      </c>
      <c r="C38" s="99">
        <v>3</v>
      </c>
    </row>
    <row r="39" spans="2:3" x14ac:dyDescent="0.25">
      <c r="B39" s="98" t="s">
        <v>143</v>
      </c>
      <c r="C39" s="99">
        <v>1</v>
      </c>
    </row>
    <row r="40" spans="2:3" x14ac:dyDescent="0.25">
      <c r="B40" s="98" t="s">
        <v>204</v>
      </c>
      <c r="C40" s="99">
        <v>3</v>
      </c>
    </row>
    <row r="41" spans="2:3" x14ac:dyDescent="0.25">
      <c r="B41" s="98" t="s">
        <v>198</v>
      </c>
      <c r="C41" s="99">
        <f>SUM(C35:C40)</f>
        <v>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D5"/>
  <sheetViews>
    <sheetView workbookViewId="0">
      <selection activeCell="D6" sqref="D6"/>
    </sheetView>
  </sheetViews>
  <sheetFormatPr defaultRowHeight="15" x14ac:dyDescent="0.25"/>
  <cols>
    <col min="1" max="1" width="9.140625" style="93"/>
    <col min="2" max="2" width="4.7109375" style="91" customWidth="1"/>
    <col min="3" max="3" width="33.7109375" style="93" customWidth="1"/>
    <col min="4" max="4" width="22.42578125" style="93" customWidth="1"/>
    <col min="5" max="16384" width="9.140625" style="93"/>
  </cols>
  <sheetData>
    <row r="2" spans="1:4" ht="19.5" x14ac:dyDescent="0.25">
      <c r="A2" s="107"/>
      <c r="C2" s="129" t="s">
        <v>205</v>
      </c>
    </row>
    <row r="4" spans="1:4" x14ac:dyDescent="0.25">
      <c r="C4" s="94" t="s">
        <v>15</v>
      </c>
      <c r="D4" s="94" t="s">
        <v>36</v>
      </c>
    </row>
    <row r="5" spans="1:4" x14ac:dyDescent="0.25">
      <c r="B5" s="94">
        <v>1</v>
      </c>
      <c r="C5" s="92" t="s">
        <v>205</v>
      </c>
      <c r="D5" s="95">
        <v>1623099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Q64"/>
  <sheetViews>
    <sheetView topLeftCell="E1" zoomScale="85" zoomScaleNormal="85" zoomScaleSheetLayoutView="85" workbookViewId="0">
      <selection activeCell="Q18" sqref="Q18"/>
    </sheetView>
  </sheetViews>
  <sheetFormatPr defaultRowHeight="15" x14ac:dyDescent="0.25"/>
  <cols>
    <col min="1" max="1" width="9.140625" style="93"/>
    <col min="2" max="2" width="3.28515625" style="91" bestFit="1" customWidth="1"/>
    <col min="3" max="3" width="23.42578125" style="130" customWidth="1"/>
    <col min="4" max="4" width="10.28515625" style="93" bestFit="1" customWidth="1"/>
    <col min="5" max="8" width="9.42578125" style="93" bestFit="1" customWidth="1"/>
    <col min="9" max="9" width="10.28515625" style="93" bestFit="1" customWidth="1"/>
    <col min="10" max="13" width="9.42578125" style="93" bestFit="1" customWidth="1"/>
    <col min="14" max="14" width="10.28515625" style="93" bestFit="1" customWidth="1"/>
    <col min="15" max="16" width="9.42578125" style="93" bestFit="1" customWidth="1"/>
    <col min="17" max="17" width="10.28515625" style="93" bestFit="1" customWidth="1"/>
    <col min="18" max="16384" width="9.140625" style="93"/>
  </cols>
  <sheetData>
    <row r="2" spans="1:17" x14ac:dyDescent="0.25">
      <c r="A2" s="107"/>
      <c r="C2" s="93" t="s">
        <v>164</v>
      </c>
    </row>
    <row r="4" spans="1:17" x14ac:dyDescent="0.25">
      <c r="B4" s="124"/>
      <c r="C4" s="118" t="s">
        <v>0</v>
      </c>
      <c r="D4" s="125" t="s">
        <v>1</v>
      </c>
      <c r="E4" s="125" t="s">
        <v>2</v>
      </c>
      <c r="F4" s="125" t="s">
        <v>3</v>
      </c>
      <c r="G4" s="125" t="s">
        <v>4</v>
      </c>
      <c r="H4" s="125" t="s">
        <v>5</v>
      </c>
      <c r="I4" s="125" t="s">
        <v>6</v>
      </c>
      <c r="J4" s="125" t="s">
        <v>7</v>
      </c>
      <c r="K4" s="125" t="s">
        <v>8</v>
      </c>
      <c r="L4" s="125" t="s">
        <v>9</v>
      </c>
      <c r="M4" s="125" t="s">
        <v>10</v>
      </c>
      <c r="N4" s="125" t="s">
        <v>11</v>
      </c>
      <c r="O4" s="125" t="s">
        <v>12</v>
      </c>
      <c r="P4" s="125" t="s">
        <v>13</v>
      </c>
      <c r="Q4" s="125" t="s">
        <v>14</v>
      </c>
    </row>
    <row r="5" spans="1:17" x14ac:dyDescent="0.25">
      <c r="B5" s="125">
        <v>1</v>
      </c>
      <c r="C5" s="132" t="s">
        <v>15</v>
      </c>
      <c r="D5" s="127" t="s">
        <v>16</v>
      </c>
      <c r="E5" s="127" t="s">
        <v>17</v>
      </c>
      <c r="F5" s="127" t="s">
        <v>18</v>
      </c>
      <c r="G5" s="127" t="s">
        <v>19</v>
      </c>
      <c r="H5" s="127" t="s">
        <v>20</v>
      </c>
      <c r="I5" s="127" t="s">
        <v>21</v>
      </c>
      <c r="J5" s="127" t="s">
        <v>22</v>
      </c>
      <c r="K5" s="127" t="s">
        <v>23</v>
      </c>
      <c r="L5" s="127" t="s">
        <v>24</v>
      </c>
      <c r="M5" s="127" t="s">
        <v>25</v>
      </c>
      <c r="N5" s="127" t="s">
        <v>26</v>
      </c>
      <c r="O5" s="127" t="s">
        <v>27</v>
      </c>
      <c r="P5" s="127" t="s">
        <v>28</v>
      </c>
      <c r="Q5" s="127" t="s">
        <v>29</v>
      </c>
    </row>
    <row r="6" spans="1:17" ht="24" x14ac:dyDescent="0.25">
      <c r="B6" s="125">
        <v>2</v>
      </c>
      <c r="C6" s="133" t="s">
        <v>145</v>
      </c>
      <c r="D6" s="135">
        <v>307805044</v>
      </c>
      <c r="E6" s="135">
        <v>25692500</v>
      </c>
      <c r="F6" s="135">
        <v>25692544</v>
      </c>
      <c r="G6" s="135">
        <v>25642000</v>
      </c>
      <c r="H6" s="135">
        <v>25642000</v>
      </c>
      <c r="I6" s="135">
        <v>25642000</v>
      </c>
      <c r="J6" s="135">
        <v>25642000</v>
      </c>
      <c r="K6" s="135">
        <v>25642000</v>
      </c>
      <c r="L6" s="135">
        <v>25642000</v>
      </c>
      <c r="M6" s="135">
        <v>25642000</v>
      </c>
      <c r="N6" s="135">
        <v>25642000</v>
      </c>
      <c r="O6" s="135">
        <v>25642000</v>
      </c>
      <c r="P6" s="135">
        <v>25642000</v>
      </c>
      <c r="Q6" s="135">
        <f>SUM(E6:P6)</f>
        <v>307805044</v>
      </c>
    </row>
    <row r="7" spans="1:17" x14ac:dyDescent="0.25">
      <c r="B7" s="125">
        <v>3</v>
      </c>
      <c r="C7" s="133" t="s">
        <v>231</v>
      </c>
      <c r="D7" s="135">
        <v>122500000</v>
      </c>
      <c r="E7" s="135">
        <v>0</v>
      </c>
      <c r="F7" s="135">
        <v>30625000</v>
      </c>
      <c r="G7" s="135">
        <v>30625000</v>
      </c>
      <c r="H7" s="135">
        <v>0</v>
      </c>
      <c r="I7" s="135">
        <v>0</v>
      </c>
      <c r="J7" s="135">
        <v>0</v>
      </c>
      <c r="K7" s="135">
        <v>0</v>
      </c>
      <c r="L7" s="135">
        <v>30625000</v>
      </c>
      <c r="M7" s="135">
        <v>30625000</v>
      </c>
      <c r="N7" s="135">
        <v>0</v>
      </c>
      <c r="O7" s="135">
        <v>0</v>
      </c>
      <c r="P7" s="135">
        <v>0</v>
      </c>
      <c r="Q7" s="135">
        <f t="shared" ref="Q7:Q11" si="0">SUM(E7:P7)</f>
        <v>122500000</v>
      </c>
    </row>
    <row r="8" spans="1:17" x14ac:dyDescent="0.25">
      <c r="B8" s="125">
        <v>4</v>
      </c>
      <c r="C8" s="133" t="s">
        <v>243</v>
      </c>
      <c r="D8" s="135">
        <v>70409722</v>
      </c>
      <c r="E8" s="135">
        <v>5867500</v>
      </c>
      <c r="F8" s="135">
        <v>5867500</v>
      </c>
      <c r="G8" s="135">
        <v>5867500</v>
      </c>
      <c r="H8" s="135">
        <v>5867500</v>
      </c>
      <c r="I8" s="135">
        <v>5867500</v>
      </c>
      <c r="J8" s="135">
        <v>5867500</v>
      </c>
      <c r="K8" s="135">
        <v>5867500</v>
      </c>
      <c r="L8" s="135">
        <v>5867500</v>
      </c>
      <c r="M8" s="135">
        <v>5867500</v>
      </c>
      <c r="N8" s="135">
        <v>5867500</v>
      </c>
      <c r="O8" s="135">
        <v>5867500</v>
      </c>
      <c r="P8" s="135">
        <v>5867222</v>
      </c>
      <c r="Q8" s="135">
        <f t="shared" si="0"/>
        <v>70409722</v>
      </c>
    </row>
    <row r="9" spans="1:17" x14ac:dyDescent="0.25">
      <c r="B9" s="125">
        <v>5</v>
      </c>
      <c r="C9" s="133" t="s">
        <v>244</v>
      </c>
      <c r="D9" s="135">
        <v>47000000</v>
      </c>
      <c r="E9" s="135">
        <v>0</v>
      </c>
      <c r="F9" s="135">
        <v>0</v>
      </c>
      <c r="G9" s="135">
        <v>2500000</v>
      </c>
      <c r="H9" s="135">
        <v>20000000</v>
      </c>
      <c r="I9" s="135">
        <v>0</v>
      </c>
      <c r="J9" s="135">
        <v>2500000</v>
      </c>
      <c r="K9" s="135">
        <v>20000000</v>
      </c>
      <c r="L9" s="135">
        <v>0</v>
      </c>
      <c r="M9" s="135">
        <v>1000000</v>
      </c>
      <c r="N9" s="135">
        <v>1000000</v>
      </c>
      <c r="O9" s="135">
        <v>0</v>
      </c>
      <c r="P9" s="135">
        <v>0</v>
      </c>
      <c r="Q9" s="135">
        <f t="shared" si="0"/>
        <v>47000000</v>
      </c>
    </row>
    <row r="10" spans="1:17" x14ac:dyDescent="0.25">
      <c r="B10" s="125">
        <v>6</v>
      </c>
      <c r="C10" s="133" t="s">
        <v>245</v>
      </c>
      <c r="D10" s="135">
        <v>161337761</v>
      </c>
      <c r="E10" s="135">
        <v>0</v>
      </c>
      <c r="F10" s="135">
        <v>0</v>
      </c>
      <c r="G10" s="135">
        <v>0</v>
      </c>
      <c r="H10" s="135">
        <v>0</v>
      </c>
      <c r="I10" s="135">
        <v>161337761</v>
      </c>
      <c r="J10" s="135">
        <v>0</v>
      </c>
      <c r="K10" s="135">
        <v>0</v>
      </c>
      <c r="L10" s="135">
        <v>0</v>
      </c>
      <c r="M10" s="135">
        <v>0</v>
      </c>
      <c r="N10" s="135">
        <v>0</v>
      </c>
      <c r="O10" s="135">
        <v>0</v>
      </c>
      <c r="P10" s="135">
        <v>0</v>
      </c>
      <c r="Q10" s="135">
        <f t="shared" si="0"/>
        <v>161337761</v>
      </c>
    </row>
    <row r="11" spans="1:17" x14ac:dyDescent="0.25">
      <c r="B11" s="125">
        <v>7</v>
      </c>
      <c r="C11" s="133" t="s">
        <v>122</v>
      </c>
      <c r="D11" s="135">
        <v>112249854</v>
      </c>
      <c r="E11" s="135">
        <v>12249854</v>
      </c>
      <c r="F11" s="135">
        <v>0</v>
      </c>
      <c r="G11" s="135">
        <v>0</v>
      </c>
      <c r="H11" s="135">
        <v>0</v>
      </c>
      <c r="I11" s="135">
        <v>100000000</v>
      </c>
      <c r="J11" s="135">
        <v>0</v>
      </c>
      <c r="K11" s="135">
        <v>0</v>
      </c>
      <c r="L11" s="135">
        <v>0</v>
      </c>
      <c r="M11" s="135">
        <v>0</v>
      </c>
      <c r="N11" s="135">
        <v>0</v>
      </c>
      <c r="O11" s="135">
        <v>0</v>
      </c>
      <c r="P11" s="135">
        <v>0</v>
      </c>
      <c r="Q11" s="135">
        <f t="shared" si="0"/>
        <v>112249854</v>
      </c>
    </row>
    <row r="12" spans="1:17" s="128" customFormat="1" ht="14.25" x14ac:dyDescent="0.25">
      <c r="B12" s="125">
        <v>8</v>
      </c>
      <c r="C12" s="134" t="s">
        <v>246</v>
      </c>
      <c r="D12" s="136">
        <f>SUM(D6:D11)</f>
        <v>821302381</v>
      </c>
      <c r="E12" s="136">
        <f t="shared" ref="E12:P12" si="1">SUM(E6:E11)</f>
        <v>43809854</v>
      </c>
      <c r="F12" s="136">
        <f t="shared" si="1"/>
        <v>62185044</v>
      </c>
      <c r="G12" s="136">
        <f t="shared" si="1"/>
        <v>64634500</v>
      </c>
      <c r="H12" s="136">
        <f t="shared" si="1"/>
        <v>51509500</v>
      </c>
      <c r="I12" s="136">
        <f t="shared" si="1"/>
        <v>292847261</v>
      </c>
      <c r="J12" s="136">
        <f t="shared" si="1"/>
        <v>34009500</v>
      </c>
      <c r="K12" s="136">
        <f t="shared" si="1"/>
        <v>51509500</v>
      </c>
      <c r="L12" s="136">
        <f t="shared" si="1"/>
        <v>62134500</v>
      </c>
      <c r="M12" s="136">
        <f t="shared" si="1"/>
        <v>63134500</v>
      </c>
      <c r="N12" s="136">
        <f t="shared" si="1"/>
        <v>32509500</v>
      </c>
      <c r="O12" s="136">
        <f t="shared" si="1"/>
        <v>31509500</v>
      </c>
      <c r="P12" s="136">
        <f t="shared" si="1"/>
        <v>31509222</v>
      </c>
      <c r="Q12" s="136">
        <f>SUM(Q6:Q11)</f>
        <v>821302381</v>
      </c>
    </row>
    <row r="13" spans="1:17" x14ac:dyDescent="0.25">
      <c r="B13" s="125">
        <v>9</v>
      </c>
      <c r="C13" s="133" t="s">
        <v>46</v>
      </c>
      <c r="D13" s="135">
        <v>53453352</v>
      </c>
      <c r="E13" s="135">
        <v>4454446</v>
      </c>
      <c r="F13" s="135">
        <v>4454446</v>
      </c>
      <c r="G13" s="135">
        <v>4454446</v>
      </c>
      <c r="H13" s="135">
        <v>4454446</v>
      </c>
      <c r="I13" s="135">
        <v>4454446</v>
      </c>
      <c r="J13" s="135">
        <v>4454446</v>
      </c>
      <c r="K13" s="135">
        <v>4454446</v>
      </c>
      <c r="L13" s="135">
        <v>4454446</v>
      </c>
      <c r="M13" s="135">
        <v>4454446</v>
      </c>
      <c r="N13" s="135">
        <v>4454446</v>
      </c>
      <c r="O13" s="135">
        <v>4454446</v>
      </c>
      <c r="P13" s="135">
        <v>4454446</v>
      </c>
      <c r="Q13" s="135">
        <f>SUM(E13:P13)</f>
        <v>53453352</v>
      </c>
    </row>
    <row r="14" spans="1:17" ht="24" x14ac:dyDescent="0.25">
      <c r="B14" s="125">
        <v>10</v>
      </c>
      <c r="C14" s="133" t="s">
        <v>224</v>
      </c>
      <c r="D14" s="135">
        <v>7006538</v>
      </c>
      <c r="E14" s="135">
        <v>583880</v>
      </c>
      <c r="F14" s="135">
        <v>583880</v>
      </c>
      <c r="G14" s="135">
        <v>583880</v>
      </c>
      <c r="H14" s="135">
        <v>583880</v>
      </c>
      <c r="I14" s="135">
        <v>583880</v>
      </c>
      <c r="J14" s="135">
        <v>583880</v>
      </c>
      <c r="K14" s="135">
        <v>583880</v>
      </c>
      <c r="L14" s="135">
        <v>583880</v>
      </c>
      <c r="M14" s="135">
        <v>583880</v>
      </c>
      <c r="N14" s="135">
        <v>583880</v>
      </c>
      <c r="O14" s="135">
        <v>583880</v>
      </c>
      <c r="P14" s="135">
        <v>583858</v>
      </c>
      <c r="Q14" s="135">
        <f t="shared" ref="Q14:Q21" si="2">SUM(E14:P14)</f>
        <v>7006538</v>
      </c>
    </row>
    <row r="15" spans="1:17" x14ac:dyDescent="0.25">
      <c r="B15" s="125">
        <v>11</v>
      </c>
      <c r="C15" s="133" t="s">
        <v>48</v>
      </c>
      <c r="D15" s="135">
        <v>138591153</v>
      </c>
      <c r="E15" s="135">
        <v>11549260</v>
      </c>
      <c r="F15" s="135">
        <v>11549260</v>
      </c>
      <c r="G15" s="135">
        <v>11549260</v>
      </c>
      <c r="H15" s="135">
        <v>11549260</v>
      </c>
      <c r="I15" s="135">
        <v>11549260</v>
      </c>
      <c r="J15" s="135">
        <v>11549260</v>
      </c>
      <c r="K15" s="135">
        <v>11549260</v>
      </c>
      <c r="L15" s="135">
        <v>11549260</v>
      </c>
      <c r="M15" s="135">
        <v>11549260</v>
      </c>
      <c r="N15" s="135">
        <v>11549260</v>
      </c>
      <c r="O15" s="135">
        <v>11549260</v>
      </c>
      <c r="P15" s="135">
        <v>11549293</v>
      </c>
      <c r="Q15" s="135">
        <f t="shared" si="2"/>
        <v>138591153</v>
      </c>
    </row>
    <row r="16" spans="1:17" x14ac:dyDescent="0.25">
      <c r="B16" s="125">
        <v>12</v>
      </c>
      <c r="C16" s="133" t="s">
        <v>50</v>
      </c>
      <c r="D16" s="135">
        <v>20737519</v>
      </c>
      <c r="E16" s="135">
        <v>1728120</v>
      </c>
      <c r="F16" s="135">
        <v>1728120</v>
      </c>
      <c r="G16" s="135">
        <v>1728120</v>
      </c>
      <c r="H16" s="135">
        <v>1728120</v>
      </c>
      <c r="I16" s="135">
        <v>1728120</v>
      </c>
      <c r="J16" s="135">
        <v>1728120</v>
      </c>
      <c r="K16" s="135">
        <v>1728120</v>
      </c>
      <c r="L16" s="135">
        <v>1728120</v>
      </c>
      <c r="M16" s="135">
        <v>1728120</v>
      </c>
      <c r="N16" s="135">
        <v>1728120</v>
      </c>
      <c r="O16" s="135">
        <v>1728120</v>
      </c>
      <c r="P16" s="135">
        <v>1728199</v>
      </c>
      <c r="Q16" s="135">
        <f t="shared" si="2"/>
        <v>20737519</v>
      </c>
    </row>
    <row r="17" spans="1:17" x14ac:dyDescent="0.25">
      <c r="B17" s="125">
        <v>13</v>
      </c>
      <c r="C17" s="133" t="s">
        <v>49</v>
      </c>
      <c r="D17" s="135">
        <v>4850000</v>
      </c>
      <c r="E17" s="135">
        <v>0</v>
      </c>
      <c r="F17" s="135">
        <v>0</v>
      </c>
      <c r="G17" s="135">
        <v>105000</v>
      </c>
      <c r="H17" s="135">
        <v>105000</v>
      </c>
      <c r="I17" s="135">
        <v>105000</v>
      </c>
      <c r="J17" s="135">
        <v>210000</v>
      </c>
      <c r="K17" s="135">
        <v>105000</v>
      </c>
      <c r="L17" s="135">
        <v>105000</v>
      </c>
      <c r="M17" s="135">
        <v>105000</v>
      </c>
      <c r="N17" s="135">
        <v>105000</v>
      </c>
      <c r="O17" s="135">
        <v>3800000</v>
      </c>
      <c r="P17" s="135">
        <v>105000</v>
      </c>
      <c r="Q17" s="135">
        <f t="shared" si="2"/>
        <v>4850000</v>
      </c>
    </row>
    <row r="18" spans="1:17" x14ac:dyDescent="0.25">
      <c r="B18" s="125">
        <v>14</v>
      </c>
      <c r="C18" s="133" t="s">
        <v>247</v>
      </c>
      <c r="D18" s="135">
        <v>170003841</v>
      </c>
      <c r="E18" s="135">
        <v>0</v>
      </c>
      <c r="F18" s="135">
        <v>0</v>
      </c>
      <c r="G18" s="135">
        <v>0</v>
      </c>
      <c r="H18" s="135">
        <v>0</v>
      </c>
      <c r="I18" s="135">
        <v>0</v>
      </c>
      <c r="J18" s="135">
        <v>0</v>
      </c>
      <c r="K18" s="135">
        <v>0</v>
      </c>
      <c r="L18" s="135">
        <v>0</v>
      </c>
      <c r="M18" s="135">
        <v>0</v>
      </c>
      <c r="N18" s="135">
        <v>170003841</v>
      </c>
      <c r="O18" s="135">
        <v>0</v>
      </c>
      <c r="P18" s="135">
        <v>0</v>
      </c>
      <c r="Q18" s="135">
        <f t="shared" si="2"/>
        <v>170003841</v>
      </c>
    </row>
    <row r="19" spans="1:17" ht="24" x14ac:dyDescent="0.25">
      <c r="B19" s="125">
        <v>15</v>
      </c>
      <c r="C19" s="133" t="s">
        <v>248</v>
      </c>
      <c r="D19" s="135">
        <v>27400000</v>
      </c>
      <c r="E19" s="135">
        <v>0</v>
      </c>
      <c r="F19" s="135">
        <v>0</v>
      </c>
      <c r="G19" s="135">
        <v>0</v>
      </c>
      <c r="H19" s="135">
        <v>0</v>
      </c>
      <c r="I19" s="135">
        <v>24000000</v>
      </c>
      <c r="J19" s="135">
        <v>0</v>
      </c>
      <c r="K19" s="135">
        <v>3400000</v>
      </c>
      <c r="L19" s="135">
        <v>0</v>
      </c>
      <c r="M19" s="135">
        <v>0</v>
      </c>
      <c r="N19" s="135">
        <v>0</v>
      </c>
      <c r="O19" s="135">
        <v>0</v>
      </c>
      <c r="P19" s="135">
        <v>0</v>
      </c>
      <c r="Q19" s="135">
        <f t="shared" si="2"/>
        <v>27400000</v>
      </c>
    </row>
    <row r="20" spans="1:17" x14ac:dyDescent="0.25">
      <c r="B20" s="125">
        <v>16</v>
      </c>
      <c r="C20" s="133" t="s">
        <v>54</v>
      </c>
      <c r="D20" s="135">
        <v>397636879</v>
      </c>
      <c r="E20" s="135">
        <v>33136400</v>
      </c>
      <c r="F20" s="135">
        <v>33136400</v>
      </c>
      <c r="G20" s="135">
        <v>33136400</v>
      </c>
      <c r="H20" s="135">
        <v>33136400</v>
      </c>
      <c r="I20" s="135">
        <v>33136400</v>
      </c>
      <c r="J20" s="135">
        <v>33136400</v>
      </c>
      <c r="K20" s="135">
        <v>33136400</v>
      </c>
      <c r="L20" s="135">
        <v>33136400</v>
      </c>
      <c r="M20" s="135">
        <v>33136400</v>
      </c>
      <c r="N20" s="135">
        <v>33136400</v>
      </c>
      <c r="O20" s="135">
        <v>33136400</v>
      </c>
      <c r="P20" s="135">
        <v>33136479</v>
      </c>
      <c r="Q20" s="135">
        <f t="shared" si="2"/>
        <v>397636879</v>
      </c>
    </row>
    <row r="21" spans="1:17" x14ac:dyDescent="0.25">
      <c r="B21" s="125">
        <v>17</v>
      </c>
      <c r="C21" s="133" t="s">
        <v>205</v>
      </c>
      <c r="D21" s="135">
        <v>623099</v>
      </c>
      <c r="E21" s="135">
        <v>0</v>
      </c>
      <c r="F21" s="135">
        <v>0</v>
      </c>
      <c r="G21" s="135">
        <v>0</v>
      </c>
      <c r="H21" s="135">
        <v>0</v>
      </c>
      <c r="I21" s="135">
        <v>1623099</v>
      </c>
      <c r="J21" s="135">
        <v>0</v>
      </c>
      <c r="K21" s="135">
        <v>0</v>
      </c>
      <c r="L21" s="135">
        <v>0</v>
      </c>
      <c r="M21" s="135">
        <v>0</v>
      </c>
      <c r="N21" s="135">
        <v>0</v>
      </c>
      <c r="O21" s="135">
        <v>0</v>
      </c>
      <c r="P21" s="135">
        <v>0</v>
      </c>
      <c r="Q21" s="135">
        <f t="shared" si="2"/>
        <v>1623099</v>
      </c>
    </row>
    <row r="22" spans="1:17" s="128" customFormat="1" ht="14.25" x14ac:dyDescent="0.25">
      <c r="B22" s="125">
        <v>18</v>
      </c>
      <c r="C22" s="134" t="s">
        <v>249</v>
      </c>
      <c r="D22" s="136">
        <f>SUM(D13:D21)</f>
        <v>820302381</v>
      </c>
      <c r="E22" s="136">
        <f t="shared" ref="E22:P22" si="3">SUM(E13:E21)</f>
        <v>51452106</v>
      </c>
      <c r="F22" s="136">
        <f t="shared" si="3"/>
        <v>51452106</v>
      </c>
      <c r="G22" s="136">
        <f t="shared" si="3"/>
        <v>51557106</v>
      </c>
      <c r="H22" s="136">
        <f t="shared" si="3"/>
        <v>51557106</v>
      </c>
      <c r="I22" s="136">
        <f t="shared" si="3"/>
        <v>77180205</v>
      </c>
      <c r="J22" s="136">
        <f t="shared" si="3"/>
        <v>51662106</v>
      </c>
      <c r="K22" s="136">
        <f t="shared" si="3"/>
        <v>54957106</v>
      </c>
      <c r="L22" s="136">
        <f t="shared" si="3"/>
        <v>51557106</v>
      </c>
      <c r="M22" s="136">
        <f t="shared" si="3"/>
        <v>51557106</v>
      </c>
      <c r="N22" s="136">
        <f t="shared" si="3"/>
        <v>221560947</v>
      </c>
      <c r="O22" s="136">
        <f t="shared" si="3"/>
        <v>55252106</v>
      </c>
      <c r="P22" s="136">
        <f t="shared" si="3"/>
        <v>51557275</v>
      </c>
      <c r="Q22" s="136">
        <f>SUM(Q13:Q21)</f>
        <v>821302381</v>
      </c>
    </row>
    <row r="25" spans="1:17" ht="30" x14ac:dyDescent="0.25">
      <c r="A25" s="107"/>
      <c r="C25" s="130" t="s">
        <v>165</v>
      </c>
    </row>
    <row r="27" spans="1:17" x14ac:dyDescent="0.25">
      <c r="B27" s="126"/>
      <c r="C27" s="118" t="s">
        <v>0</v>
      </c>
      <c r="D27" s="118" t="s">
        <v>1</v>
      </c>
      <c r="E27" s="118" t="s">
        <v>2</v>
      </c>
      <c r="F27" s="118" t="s">
        <v>3</v>
      </c>
      <c r="G27" s="118" t="s">
        <v>4</v>
      </c>
      <c r="H27" s="118" t="s">
        <v>5</v>
      </c>
      <c r="I27" s="118" t="s">
        <v>6</v>
      </c>
      <c r="J27" s="118" t="s">
        <v>7</v>
      </c>
      <c r="K27" s="118" t="s">
        <v>8</v>
      </c>
      <c r="L27" s="118" t="s">
        <v>9</v>
      </c>
      <c r="M27" s="118" t="s">
        <v>10</v>
      </c>
      <c r="N27" s="118" t="s">
        <v>11</v>
      </c>
      <c r="O27" s="118" t="s">
        <v>12</v>
      </c>
      <c r="P27" s="118" t="s">
        <v>13</v>
      </c>
      <c r="Q27" s="118" t="s">
        <v>14</v>
      </c>
    </row>
    <row r="28" spans="1:17" x14ac:dyDescent="0.25">
      <c r="B28" s="118">
        <v>1</v>
      </c>
      <c r="C28" s="119" t="s">
        <v>15</v>
      </c>
      <c r="D28" s="119" t="s">
        <v>16</v>
      </c>
      <c r="E28" s="119" t="s">
        <v>17</v>
      </c>
      <c r="F28" s="119" t="s">
        <v>18</v>
      </c>
      <c r="G28" s="119" t="s">
        <v>19</v>
      </c>
      <c r="H28" s="119" t="s">
        <v>20</v>
      </c>
      <c r="I28" s="119" t="s">
        <v>21</v>
      </c>
      <c r="J28" s="119" t="s">
        <v>22</v>
      </c>
      <c r="K28" s="119" t="s">
        <v>23</v>
      </c>
      <c r="L28" s="119" t="s">
        <v>24</v>
      </c>
      <c r="M28" s="119" t="s">
        <v>25</v>
      </c>
      <c r="N28" s="119" t="s">
        <v>26</v>
      </c>
      <c r="O28" s="119" t="s">
        <v>27</v>
      </c>
      <c r="P28" s="119" t="s">
        <v>28</v>
      </c>
      <c r="Q28" s="119" t="s">
        <v>29</v>
      </c>
    </row>
    <row r="29" spans="1:17" x14ac:dyDescent="0.25">
      <c r="B29" s="118">
        <v>2</v>
      </c>
      <c r="C29" s="120" t="s">
        <v>108</v>
      </c>
      <c r="D29" s="137">
        <v>610000</v>
      </c>
      <c r="E29" s="137">
        <v>0</v>
      </c>
      <c r="F29" s="137">
        <v>0</v>
      </c>
      <c r="G29" s="137">
        <v>100000</v>
      </c>
      <c r="H29" s="137">
        <v>100000</v>
      </c>
      <c r="I29" s="137">
        <v>110000</v>
      </c>
      <c r="J29" s="137">
        <v>100000</v>
      </c>
      <c r="K29" s="137">
        <v>100000</v>
      </c>
      <c r="L29" s="137">
        <v>100000</v>
      </c>
      <c r="M29" s="137">
        <v>0</v>
      </c>
      <c r="N29" s="137">
        <v>0</v>
      </c>
      <c r="O29" s="137">
        <v>0</v>
      </c>
      <c r="P29" s="137">
        <v>0</v>
      </c>
      <c r="Q29" s="137">
        <f>SUM(E29:P29)</f>
        <v>610000</v>
      </c>
    </row>
    <row r="30" spans="1:17" x14ac:dyDescent="0.25">
      <c r="B30" s="118">
        <v>3</v>
      </c>
      <c r="C30" s="120" t="s">
        <v>122</v>
      </c>
      <c r="D30" s="137">
        <v>82006256</v>
      </c>
      <c r="E30" s="137">
        <v>6833855</v>
      </c>
      <c r="F30" s="137">
        <v>6833855</v>
      </c>
      <c r="G30" s="137">
        <v>6833855</v>
      </c>
      <c r="H30" s="137">
        <v>6833855</v>
      </c>
      <c r="I30" s="137">
        <v>6833855</v>
      </c>
      <c r="J30" s="137">
        <v>6833855</v>
      </c>
      <c r="K30" s="137">
        <v>6833855</v>
      </c>
      <c r="L30" s="137">
        <v>6833855</v>
      </c>
      <c r="M30" s="137">
        <v>6833855</v>
      </c>
      <c r="N30" s="137">
        <v>6833855</v>
      </c>
      <c r="O30" s="137">
        <v>6833855</v>
      </c>
      <c r="P30" s="137">
        <v>6833851</v>
      </c>
      <c r="Q30" s="137">
        <f>SUM(E30:P30)</f>
        <v>82006256</v>
      </c>
    </row>
    <row r="31" spans="1:17" s="128" customFormat="1" ht="14.25" x14ac:dyDescent="0.25">
      <c r="B31" s="118">
        <v>4</v>
      </c>
      <c r="C31" s="121" t="s">
        <v>246</v>
      </c>
      <c r="D31" s="138">
        <f>SUM(D29:D30)</f>
        <v>82616256</v>
      </c>
      <c r="E31" s="138">
        <f t="shared" ref="E31:Q31" si="4">SUM(E29:E30)</f>
        <v>6833855</v>
      </c>
      <c r="F31" s="138">
        <f>SUM(F29:F30)</f>
        <v>6833855</v>
      </c>
      <c r="G31" s="138">
        <f>SUM(G29:G30)</f>
        <v>6933855</v>
      </c>
      <c r="H31" s="138">
        <f>SUM(H29:H30)</f>
        <v>6933855</v>
      </c>
      <c r="I31" s="138">
        <f t="shared" si="4"/>
        <v>6943855</v>
      </c>
      <c r="J31" s="138">
        <f t="shared" si="4"/>
        <v>6933855</v>
      </c>
      <c r="K31" s="138">
        <f t="shared" si="4"/>
        <v>6933855</v>
      </c>
      <c r="L31" s="138">
        <f t="shared" si="4"/>
        <v>6933855</v>
      </c>
      <c r="M31" s="138">
        <f t="shared" si="4"/>
        <v>6833855</v>
      </c>
      <c r="N31" s="138">
        <f t="shared" si="4"/>
        <v>6833855</v>
      </c>
      <c r="O31" s="138">
        <f t="shared" si="4"/>
        <v>6833855</v>
      </c>
      <c r="P31" s="138">
        <f t="shared" si="4"/>
        <v>6833851</v>
      </c>
      <c r="Q31" s="138">
        <f t="shared" si="4"/>
        <v>82616256</v>
      </c>
    </row>
    <row r="32" spans="1:17" x14ac:dyDescent="0.25">
      <c r="B32" s="118">
        <v>5</v>
      </c>
      <c r="C32" s="120" t="s">
        <v>46</v>
      </c>
      <c r="D32" s="137">
        <v>59660434</v>
      </c>
      <c r="E32" s="137">
        <v>4971703</v>
      </c>
      <c r="F32" s="137">
        <v>4971703</v>
      </c>
      <c r="G32" s="137">
        <v>4971703</v>
      </c>
      <c r="H32" s="137">
        <v>4971703</v>
      </c>
      <c r="I32" s="137">
        <v>4971703</v>
      </c>
      <c r="J32" s="137">
        <v>4971703</v>
      </c>
      <c r="K32" s="137">
        <v>4971703</v>
      </c>
      <c r="L32" s="137">
        <v>4971703</v>
      </c>
      <c r="M32" s="137">
        <v>4971703</v>
      </c>
      <c r="N32" s="137">
        <v>4971703</v>
      </c>
      <c r="O32" s="137">
        <v>4971703</v>
      </c>
      <c r="P32" s="137">
        <v>4971701</v>
      </c>
      <c r="Q32" s="137">
        <f t="shared" ref="Q32:Q35" si="5">SUM(E32:P32)</f>
        <v>59660434</v>
      </c>
    </row>
    <row r="33" spans="1:17" ht="24" x14ac:dyDescent="0.25">
      <c r="B33" s="118">
        <v>6</v>
      </c>
      <c r="C33" s="120" t="s">
        <v>224</v>
      </c>
      <c r="D33" s="137">
        <v>8088106</v>
      </c>
      <c r="E33" s="137">
        <v>674010</v>
      </c>
      <c r="F33" s="137">
        <v>674010</v>
      </c>
      <c r="G33" s="137">
        <v>674010</v>
      </c>
      <c r="H33" s="137">
        <v>674010</v>
      </c>
      <c r="I33" s="137">
        <v>674010</v>
      </c>
      <c r="J33" s="137">
        <v>674010</v>
      </c>
      <c r="K33" s="137">
        <v>674010</v>
      </c>
      <c r="L33" s="137">
        <v>674010</v>
      </c>
      <c r="M33" s="137">
        <v>674010</v>
      </c>
      <c r="N33" s="137">
        <v>674010</v>
      </c>
      <c r="O33" s="137">
        <v>674010</v>
      </c>
      <c r="P33" s="137">
        <v>673996</v>
      </c>
      <c r="Q33" s="137">
        <f t="shared" si="5"/>
        <v>8088106</v>
      </c>
    </row>
    <row r="34" spans="1:17" x14ac:dyDescent="0.25">
      <c r="B34" s="118">
        <v>7</v>
      </c>
      <c r="C34" s="120" t="s">
        <v>48</v>
      </c>
      <c r="D34" s="137">
        <v>13467716</v>
      </c>
      <c r="E34" s="137">
        <v>990000</v>
      </c>
      <c r="F34" s="137">
        <v>990000</v>
      </c>
      <c r="G34" s="137">
        <v>990000</v>
      </c>
      <c r="H34" s="137">
        <v>990000</v>
      </c>
      <c r="I34" s="137">
        <v>2577716</v>
      </c>
      <c r="J34" s="137">
        <v>990000</v>
      </c>
      <c r="K34" s="137">
        <v>990000</v>
      </c>
      <c r="L34" s="137">
        <v>990000</v>
      </c>
      <c r="M34" s="137">
        <v>990000</v>
      </c>
      <c r="N34" s="137">
        <v>990000</v>
      </c>
      <c r="O34" s="137">
        <v>990000</v>
      </c>
      <c r="P34" s="137">
        <v>990000</v>
      </c>
      <c r="Q34" s="137">
        <f t="shared" si="5"/>
        <v>13467716</v>
      </c>
    </row>
    <row r="35" spans="1:17" x14ac:dyDescent="0.25">
      <c r="B35" s="118">
        <v>8</v>
      </c>
      <c r="C35" s="120" t="s">
        <v>44</v>
      </c>
      <c r="D35" s="137">
        <v>1400000</v>
      </c>
      <c r="E35" s="137">
        <v>0</v>
      </c>
      <c r="F35" s="137">
        <v>0</v>
      </c>
      <c r="G35" s="137">
        <v>0</v>
      </c>
      <c r="H35" s="137">
        <v>0</v>
      </c>
      <c r="I35" s="137">
        <v>1400000</v>
      </c>
      <c r="J35" s="137">
        <v>0</v>
      </c>
      <c r="K35" s="137">
        <v>0</v>
      </c>
      <c r="L35" s="137">
        <v>0</v>
      </c>
      <c r="M35" s="137">
        <v>0</v>
      </c>
      <c r="N35" s="137">
        <v>0</v>
      </c>
      <c r="O35" s="137">
        <v>0</v>
      </c>
      <c r="P35" s="137">
        <v>0</v>
      </c>
      <c r="Q35" s="137">
        <f t="shared" si="5"/>
        <v>1400000</v>
      </c>
    </row>
    <row r="36" spans="1:17" s="128" customFormat="1" ht="14.25" x14ac:dyDescent="0.25">
      <c r="B36" s="118">
        <v>9</v>
      </c>
      <c r="C36" s="121" t="s">
        <v>249</v>
      </c>
      <c r="D36" s="138">
        <f t="shared" ref="D36:Q36" si="6">SUM(D32:D35)</f>
        <v>82616256</v>
      </c>
      <c r="E36" s="138">
        <f t="shared" si="6"/>
        <v>6635713</v>
      </c>
      <c r="F36" s="138">
        <f t="shared" si="6"/>
        <v>6635713</v>
      </c>
      <c r="G36" s="138">
        <f t="shared" si="6"/>
        <v>6635713</v>
      </c>
      <c r="H36" s="138">
        <f t="shared" si="6"/>
        <v>6635713</v>
      </c>
      <c r="I36" s="138">
        <f t="shared" si="6"/>
        <v>9623429</v>
      </c>
      <c r="J36" s="138">
        <f t="shared" si="6"/>
        <v>6635713</v>
      </c>
      <c r="K36" s="138">
        <f t="shared" si="6"/>
        <v>6635713</v>
      </c>
      <c r="L36" s="138">
        <f t="shared" si="6"/>
        <v>6635713</v>
      </c>
      <c r="M36" s="138">
        <f t="shared" si="6"/>
        <v>6635713</v>
      </c>
      <c r="N36" s="138">
        <f t="shared" si="6"/>
        <v>6635713</v>
      </c>
      <c r="O36" s="138">
        <f t="shared" si="6"/>
        <v>6635713</v>
      </c>
      <c r="P36" s="138">
        <f t="shared" si="6"/>
        <v>6635697</v>
      </c>
      <c r="Q36" s="138">
        <f t="shared" si="6"/>
        <v>82616256</v>
      </c>
    </row>
    <row r="39" spans="1:17" ht="45" x14ac:dyDescent="0.25">
      <c r="A39" s="107"/>
      <c r="C39" s="130" t="s">
        <v>166</v>
      </c>
    </row>
    <row r="41" spans="1:17" x14ac:dyDescent="0.25">
      <c r="B41" s="126"/>
      <c r="C41" s="118" t="s">
        <v>0</v>
      </c>
      <c r="D41" s="118" t="s">
        <v>1</v>
      </c>
      <c r="E41" s="118" t="s">
        <v>2</v>
      </c>
      <c r="F41" s="118" t="s">
        <v>3</v>
      </c>
      <c r="G41" s="118" t="s">
        <v>4</v>
      </c>
      <c r="H41" s="118" t="s">
        <v>5</v>
      </c>
      <c r="I41" s="118" t="s">
        <v>6</v>
      </c>
      <c r="J41" s="118" t="s">
        <v>7</v>
      </c>
      <c r="K41" s="118" t="s">
        <v>8</v>
      </c>
      <c r="L41" s="118" t="s">
        <v>9</v>
      </c>
      <c r="M41" s="118" t="s">
        <v>10</v>
      </c>
      <c r="N41" s="118" t="s">
        <v>11</v>
      </c>
      <c r="O41" s="118" t="s">
        <v>12</v>
      </c>
      <c r="P41" s="118" t="s">
        <v>13</v>
      </c>
      <c r="Q41" s="118" t="s">
        <v>14</v>
      </c>
    </row>
    <row r="42" spans="1:17" x14ac:dyDescent="0.25">
      <c r="B42" s="118">
        <v>1</v>
      </c>
      <c r="C42" s="119" t="s">
        <v>15</v>
      </c>
      <c r="D42" s="119" t="s">
        <v>16</v>
      </c>
      <c r="E42" s="119" t="s">
        <v>17</v>
      </c>
      <c r="F42" s="119" t="s">
        <v>18</v>
      </c>
      <c r="G42" s="119" t="s">
        <v>19</v>
      </c>
      <c r="H42" s="119" t="s">
        <v>20</v>
      </c>
      <c r="I42" s="119" t="s">
        <v>21</v>
      </c>
      <c r="J42" s="119" t="s">
        <v>22</v>
      </c>
      <c r="K42" s="119" t="s">
        <v>23</v>
      </c>
      <c r="L42" s="119" t="s">
        <v>24</v>
      </c>
      <c r="M42" s="119" t="s">
        <v>25</v>
      </c>
      <c r="N42" s="119" t="s">
        <v>26</v>
      </c>
      <c r="O42" s="119" t="s">
        <v>27</v>
      </c>
      <c r="P42" s="119" t="s">
        <v>28</v>
      </c>
      <c r="Q42" s="119" t="s">
        <v>29</v>
      </c>
    </row>
    <row r="43" spans="1:17" x14ac:dyDescent="0.25">
      <c r="B43" s="118">
        <v>2</v>
      </c>
      <c r="C43" s="120" t="s">
        <v>108</v>
      </c>
      <c r="D43" s="137">
        <v>10066179</v>
      </c>
      <c r="E43" s="137">
        <v>915107</v>
      </c>
      <c r="F43" s="137">
        <v>915107</v>
      </c>
      <c r="G43" s="137">
        <v>915107</v>
      </c>
      <c r="H43" s="137">
        <v>915107</v>
      </c>
      <c r="I43" s="137">
        <v>915107</v>
      </c>
      <c r="J43" s="137">
        <v>915107</v>
      </c>
      <c r="K43" s="137">
        <v>915107</v>
      </c>
      <c r="L43" s="137"/>
      <c r="M43" s="137">
        <v>915107</v>
      </c>
      <c r="N43" s="137">
        <v>915107</v>
      </c>
      <c r="O43" s="137">
        <v>915107</v>
      </c>
      <c r="P43" s="137">
        <v>915109</v>
      </c>
      <c r="Q43" s="137">
        <f>SUM(E43:P43)</f>
        <v>10066179</v>
      </c>
    </row>
    <row r="44" spans="1:17" x14ac:dyDescent="0.25">
      <c r="B44" s="118">
        <v>3</v>
      </c>
      <c r="C44" s="120" t="s">
        <v>122</v>
      </c>
      <c r="D44" s="137">
        <v>194859952</v>
      </c>
      <c r="E44" s="137">
        <v>16238330</v>
      </c>
      <c r="F44" s="137">
        <v>16238330</v>
      </c>
      <c r="G44" s="137">
        <v>16238330</v>
      </c>
      <c r="H44" s="137">
        <v>16238330</v>
      </c>
      <c r="I44" s="137">
        <v>16238330</v>
      </c>
      <c r="J44" s="137">
        <v>16238330</v>
      </c>
      <c r="K44" s="137">
        <v>16238330</v>
      </c>
      <c r="L44" s="137">
        <v>16238330</v>
      </c>
      <c r="M44" s="137">
        <v>16238330</v>
      </c>
      <c r="N44" s="137">
        <v>16238330</v>
      </c>
      <c r="O44" s="137">
        <v>16238330</v>
      </c>
      <c r="P44" s="137">
        <v>16238322</v>
      </c>
      <c r="Q44" s="137">
        <f t="shared" ref="Q44:Q49" si="7">SUM(E44:P44)</f>
        <v>194859952</v>
      </c>
    </row>
    <row r="45" spans="1:17" s="128" customFormat="1" ht="14.25" x14ac:dyDescent="0.25">
      <c r="B45" s="118">
        <v>4</v>
      </c>
      <c r="C45" s="121" t="s">
        <v>246</v>
      </c>
      <c r="D45" s="138">
        <f>SUM(D43:D44)</f>
        <v>204926131</v>
      </c>
      <c r="E45" s="138">
        <f t="shared" ref="E45:P45" si="8">SUM(E43:E44)</f>
        <v>17153437</v>
      </c>
      <c r="F45" s="138">
        <f t="shared" si="8"/>
        <v>17153437</v>
      </c>
      <c r="G45" s="138">
        <f t="shared" si="8"/>
        <v>17153437</v>
      </c>
      <c r="H45" s="138">
        <f t="shared" si="8"/>
        <v>17153437</v>
      </c>
      <c r="I45" s="138">
        <f t="shared" si="8"/>
        <v>17153437</v>
      </c>
      <c r="J45" s="138">
        <f t="shared" si="8"/>
        <v>17153437</v>
      </c>
      <c r="K45" s="138">
        <f t="shared" si="8"/>
        <v>17153437</v>
      </c>
      <c r="L45" s="138">
        <f t="shared" si="8"/>
        <v>16238330</v>
      </c>
      <c r="M45" s="138">
        <f t="shared" si="8"/>
        <v>17153437</v>
      </c>
      <c r="N45" s="138">
        <f t="shared" si="8"/>
        <v>17153437</v>
      </c>
      <c r="O45" s="138">
        <f t="shared" si="8"/>
        <v>17153437</v>
      </c>
      <c r="P45" s="138">
        <f t="shared" si="8"/>
        <v>17153431</v>
      </c>
      <c r="Q45" s="138">
        <f t="shared" si="7"/>
        <v>204926131</v>
      </c>
    </row>
    <row r="46" spans="1:17" x14ac:dyDescent="0.25">
      <c r="B46" s="118">
        <v>5</v>
      </c>
      <c r="C46" s="120" t="s">
        <v>46</v>
      </c>
      <c r="D46" s="137">
        <v>143247896</v>
      </c>
      <c r="E46" s="137">
        <v>11937325</v>
      </c>
      <c r="F46" s="137">
        <v>11937325</v>
      </c>
      <c r="G46" s="137">
        <v>11937325</v>
      </c>
      <c r="H46" s="137">
        <v>11937325</v>
      </c>
      <c r="I46" s="137">
        <v>11937325</v>
      </c>
      <c r="J46" s="137">
        <v>11937325</v>
      </c>
      <c r="K46" s="137">
        <v>11937325</v>
      </c>
      <c r="L46" s="137">
        <v>11937325</v>
      </c>
      <c r="M46" s="137">
        <v>11937325</v>
      </c>
      <c r="N46" s="137">
        <v>11937325</v>
      </c>
      <c r="O46" s="137">
        <v>11937325</v>
      </c>
      <c r="P46" s="137">
        <v>11937321</v>
      </c>
      <c r="Q46" s="137">
        <f t="shared" si="7"/>
        <v>143247896</v>
      </c>
    </row>
    <row r="47" spans="1:17" ht="24" x14ac:dyDescent="0.25">
      <c r="B47" s="118">
        <v>6</v>
      </c>
      <c r="C47" s="120" t="s">
        <v>224</v>
      </c>
      <c r="D47" s="137">
        <v>18893549</v>
      </c>
      <c r="E47" s="137">
        <v>1574460</v>
      </c>
      <c r="F47" s="137">
        <v>1574460</v>
      </c>
      <c r="G47" s="137">
        <v>1574460</v>
      </c>
      <c r="H47" s="137">
        <v>1574460</v>
      </c>
      <c r="I47" s="137">
        <v>1574460</v>
      </c>
      <c r="J47" s="137">
        <v>1574460</v>
      </c>
      <c r="K47" s="137">
        <v>1574460</v>
      </c>
      <c r="L47" s="137">
        <v>1574460</v>
      </c>
      <c r="M47" s="137">
        <v>1574460</v>
      </c>
      <c r="N47" s="137">
        <v>1574460</v>
      </c>
      <c r="O47" s="137">
        <v>1574460</v>
      </c>
      <c r="P47" s="137">
        <v>1574489</v>
      </c>
      <c r="Q47" s="137">
        <f t="shared" si="7"/>
        <v>18893549</v>
      </c>
    </row>
    <row r="48" spans="1:17" x14ac:dyDescent="0.25">
      <c r="B48" s="118">
        <v>7</v>
      </c>
      <c r="C48" s="120" t="s">
        <v>48</v>
      </c>
      <c r="D48" s="137">
        <v>41784686</v>
      </c>
      <c r="E48" s="137">
        <v>2882050</v>
      </c>
      <c r="F48" s="137">
        <v>2882050</v>
      </c>
      <c r="G48" s="137">
        <v>3364070</v>
      </c>
      <c r="H48" s="137">
        <v>3364070</v>
      </c>
      <c r="I48" s="137">
        <v>3364070</v>
      </c>
      <c r="J48" s="137">
        <v>2882050</v>
      </c>
      <c r="K48" s="137">
        <v>2882050</v>
      </c>
      <c r="L48" s="137">
        <v>2882050</v>
      </c>
      <c r="M48" s="137">
        <v>8636076</v>
      </c>
      <c r="N48" s="137">
        <v>2882050</v>
      </c>
      <c r="O48" s="137">
        <v>2882050</v>
      </c>
      <c r="P48" s="137">
        <v>2882050</v>
      </c>
      <c r="Q48" s="137">
        <f t="shared" si="7"/>
        <v>41784686</v>
      </c>
    </row>
    <row r="49" spans="1:17" x14ac:dyDescent="0.25">
      <c r="B49" s="118">
        <v>8</v>
      </c>
      <c r="C49" s="120" t="s">
        <v>44</v>
      </c>
      <c r="D49" s="137">
        <v>1000000</v>
      </c>
      <c r="E49" s="137">
        <v>0</v>
      </c>
      <c r="F49" s="137">
        <v>0</v>
      </c>
      <c r="G49" s="137">
        <v>0</v>
      </c>
      <c r="H49" s="137">
        <v>0</v>
      </c>
      <c r="I49" s="137">
        <v>1000000</v>
      </c>
      <c r="J49" s="137">
        <v>0</v>
      </c>
      <c r="K49" s="137">
        <v>0</v>
      </c>
      <c r="L49" s="137">
        <v>0</v>
      </c>
      <c r="M49" s="137">
        <v>0</v>
      </c>
      <c r="N49" s="137">
        <v>0</v>
      </c>
      <c r="O49" s="137">
        <v>0</v>
      </c>
      <c r="P49" s="137">
        <v>0</v>
      </c>
      <c r="Q49" s="137">
        <f t="shared" si="7"/>
        <v>1000000</v>
      </c>
    </row>
    <row r="50" spans="1:17" x14ac:dyDescent="0.25">
      <c r="B50" s="118">
        <v>9</v>
      </c>
      <c r="C50" s="121" t="s">
        <v>249</v>
      </c>
      <c r="D50" s="138">
        <f>SUM(D46:D49)</f>
        <v>204926131</v>
      </c>
      <c r="E50" s="138">
        <f t="shared" ref="E50:P50" si="9">SUM(E46:E49)</f>
        <v>16393835</v>
      </c>
      <c r="F50" s="138">
        <f t="shared" si="9"/>
        <v>16393835</v>
      </c>
      <c r="G50" s="138">
        <f t="shared" si="9"/>
        <v>16875855</v>
      </c>
      <c r="H50" s="138">
        <f t="shared" si="9"/>
        <v>16875855</v>
      </c>
      <c r="I50" s="138">
        <f t="shared" si="9"/>
        <v>17875855</v>
      </c>
      <c r="J50" s="138">
        <f t="shared" si="9"/>
        <v>16393835</v>
      </c>
      <c r="K50" s="138">
        <f t="shared" si="9"/>
        <v>16393835</v>
      </c>
      <c r="L50" s="138">
        <f t="shared" si="9"/>
        <v>16393835</v>
      </c>
      <c r="M50" s="138">
        <f t="shared" si="9"/>
        <v>22147861</v>
      </c>
      <c r="N50" s="138">
        <f t="shared" si="9"/>
        <v>16393835</v>
      </c>
      <c r="O50" s="138">
        <f t="shared" si="9"/>
        <v>16393835</v>
      </c>
      <c r="P50" s="138">
        <f t="shared" si="9"/>
        <v>16393860</v>
      </c>
      <c r="Q50" s="138">
        <f>SUM(Q46:Q49)</f>
        <v>204926131</v>
      </c>
    </row>
    <row r="53" spans="1:17" ht="30" x14ac:dyDescent="0.25">
      <c r="A53" s="107"/>
      <c r="C53" s="130" t="s">
        <v>167</v>
      </c>
    </row>
    <row r="55" spans="1:17" s="91" customFormat="1" x14ac:dyDescent="0.25">
      <c r="B55" s="126"/>
      <c r="C55" s="118" t="s">
        <v>0</v>
      </c>
      <c r="D55" s="118" t="s">
        <v>1</v>
      </c>
      <c r="E55" s="118" t="s">
        <v>2</v>
      </c>
      <c r="F55" s="118" t="s">
        <v>3</v>
      </c>
      <c r="G55" s="118" t="s">
        <v>4</v>
      </c>
      <c r="H55" s="118" t="s">
        <v>5</v>
      </c>
      <c r="I55" s="118" t="s">
        <v>6</v>
      </c>
      <c r="J55" s="118" t="s">
        <v>7</v>
      </c>
      <c r="K55" s="118" t="s">
        <v>8</v>
      </c>
      <c r="L55" s="118" t="s">
        <v>9</v>
      </c>
      <c r="M55" s="118" t="s">
        <v>10</v>
      </c>
      <c r="N55" s="118" t="s">
        <v>11</v>
      </c>
      <c r="O55" s="118" t="s">
        <v>12</v>
      </c>
      <c r="P55" s="118" t="s">
        <v>13</v>
      </c>
      <c r="Q55" s="118" t="s">
        <v>14</v>
      </c>
    </row>
    <row r="56" spans="1:17" x14ac:dyDescent="0.25">
      <c r="B56" s="118">
        <v>1</v>
      </c>
      <c r="C56" s="120" t="s">
        <v>15</v>
      </c>
      <c r="D56" s="119" t="s">
        <v>16</v>
      </c>
      <c r="E56" s="119" t="s">
        <v>17</v>
      </c>
      <c r="F56" s="119" t="s">
        <v>18</v>
      </c>
      <c r="G56" s="119" t="s">
        <v>19</v>
      </c>
      <c r="H56" s="119" t="s">
        <v>20</v>
      </c>
      <c r="I56" s="119" t="s">
        <v>21</v>
      </c>
      <c r="J56" s="119" t="s">
        <v>22</v>
      </c>
      <c r="K56" s="119" t="s">
        <v>23</v>
      </c>
      <c r="L56" s="119" t="s">
        <v>24</v>
      </c>
      <c r="M56" s="119" t="s">
        <v>25</v>
      </c>
      <c r="N56" s="119" t="s">
        <v>26</v>
      </c>
      <c r="O56" s="119" t="s">
        <v>27</v>
      </c>
      <c r="P56" s="119" t="s">
        <v>28</v>
      </c>
      <c r="Q56" s="119" t="s">
        <v>29</v>
      </c>
    </row>
    <row r="57" spans="1:17" x14ac:dyDescent="0.25">
      <c r="B57" s="118">
        <v>2</v>
      </c>
      <c r="C57" s="120" t="s">
        <v>108</v>
      </c>
      <c r="D57" s="139">
        <v>13624564</v>
      </c>
      <c r="E57" s="139">
        <v>1135380</v>
      </c>
      <c r="F57" s="139">
        <v>1135380</v>
      </c>
      <c r="G57" s="139">
        <v>1135380</v>
      </c>
      <c r="H57" s="139">
        <v>1135380</v>
      </c>
      <c r="I57" s="139">
        <v>1135380</v>
      </c>
      <c r="J57" s="139">
        <v>1135380</v>
      </c>
      <c r="K57" s="139">
        <v>1135380</v>
      </c>
      <c r="L57" s="139">
        <v>1135380</v>
      </c>
      <c r="M57" s="139">
        <v>1135380</v>
      </c>
      <c r="N57" s="139">
        <v>1135380</v>
      </c>
      <c r="O57" s="139">
        <v>1135380</v>
      </c>
      <c r="P57" s="139">
        <v>1135384</v>
      </c>
      <c r="Q57" s="139">
        <f>SUM(E57:P57)</f>
        <v>13624564</v>
      </c>
    </row>
    <row r="58" spans="1:17" x14ac:dyDescent="0.25">
      <c r="B58" s="118">
        <v>3</v>
      </c>
      <c r="C58" s="120" t="s">
        <v>122</v>
      </c>
      <c r="D58" s="139">
        <v>91673449</v>
      </c>
      <c r="E58" s="139">
        <v>7639450</v>
      </c>
      <c r="F58" s="139">
        <v>7639450</v>
      </c>
      <c r="G58" s="139">
        <v>7639450</v>
      </c>
      <c r="H58" s="139">
        <v>7639450</v>
      </c>
      <c r="I58" s="139">
        <v>7639450</v>
      </c>
      <c r="J58" s="139">
        <v>7639450</v>
      </c>
      <c r="K58" s="139">
        <v>7639450</v>
      </c>
      <c r="L58" s="139">
        <v>7639450</v>
      </c>
      <c r="M58" s="139">
        <v>7639450</v>
      </c>
      <c r="N58" s="139">
        <v>7639450</v>
      </c>
      <c r="O58" s="139">
        <v>7639450</v>
      </c>
      <c r="P58" s="139">
        <v>7639499</v>
      </c>
      <c r="Q58" s="139">
        <f t="shared" ref="Q58:Q63" si="10">SUM(E58:P58)</f>
        <v>91673449</v>
      </c>
    </row>
    <row r="59" spans="1:17" s="128" customFormat="1" ht="14.25" x14ac:dyDescent="0.25">
      <c r="B59" s="118">
        <v>4</v>
      </c>
      <c r="C59" s="121" t="s">
        <v>246</v>
      </c>
      <c r="D59" s="140">
        <f>SUM(D57:D58)</f>
        <v>105298013</v>
      </c>
      <c r="E59" s="140">
        <f t="shared" ref="E59:P59" si="11">SUM(E57:E58)</f>
        <v>8774830</v>
      </c>
      <c r="F59" s="140">
        <f t="shared" si="11"/>
        <v>8774830</v>
      </c>
      <c r="G59" s="140">
        <f t="shared" si="11"/>
        <v>8774830</v>
      </c>
      <c r="H59" s="140">
        <f t="shared" si="11"/>
        <v>8774830</v>
      </c>
      <c r="I59" s="140">
        <f t="shared" si="11"/>
        <v>8774830</v>
      </c>
      <c r="J59" s="140">
        <f t="shared" si="11"/>
        <v>8774830</v>
      </c>
      <c r="K59" s="140">
        <f t="shared" si="11"/>
        <v>8774830</v>
      </c>
      <c r="L59" s="140">
        <f t="shared" si="11"/>
        <v>8774830</v>
      </c>
      <c r="M59" s="140">
        <f t="shared" si="11"/>
        <v>8774830</v>
      </c>
      <c r="N59" s="140">
        <f t="shared" si="11"/>
        <v>8774830</v>
      </c>
      <c r="O59" s="140">
        <f t="shared" si="11"/>
        <v>8774830</v>
      </c>
      <c r="P59" s="140">
        <f t="shared" si="11"/>
        <v>8774883</v>
      </c>
      <c r="Q59" s="140">
        <f>SUM(E59:P59)</f>
        <v>105298013</v>
      </c>
    </row>
    <row r="60" spans="1:17" x14ac:dyDescent="0.25">
      <c r="B60" s="118">
        <v>5</v>
      </c>
      <c r="C60" s="120" t="s">
        <v>46</v>
      </c>
      <c r="D60" s="139">
        <v>73126091</v>
      </c>
      <c r="E60" s="139">
        <v>6093840</v>
      </c>
      <c r="F60" s="139">
        <v>6093840</v>
      </c>
      <c r="G60" s="139">
        <v>6093840</v>
      </c>
      <c r="H60" s="139">
        <v>6093840</v>
      </c>
      <c r="I60" s="139">
        <v>6093840</v>
      </c>
      <c r="J60" s="139">
        <v>6093840</v>
      </c>
      <c r="K60" s="139">
        <v>6093840</v>
      </c>
      <c r="L60" s="139">
        <v>6093840</v>
      </c>
      <c r="M60" s="139">
        <v>6093840</v>
      </c>
      <c r="N60" s="139">
        <v>6093840</v>
      </c>
      <c r="O60" s="139">
        <v>6093840</v>
      </c>
      <c r="P60" s="139">
        <v>6093851</v>
      </c>
      <c r="Q60" s="139">
        <f t="shared" si="10"/>
        <v>73126091</v>
      </c>
    </row>
    <row r="61" spans="1:17" ht="24" x14ac:dyDescent="0.25">
      <c r="B61" s="118">
        <v>6</v>
      </c>
      <c r="C61" s="120" t="s">
        <v>224</v>
      </c>
      <c r="D61" s="139">
        <v>9875392</v>
      </c>
      <c r="E61" s="139">
        <v>822950</v>
      </c>
      <c r="F61" s="139">
        <v>822950</v>
      </c>
      <c r="G61" s="139">
        <v>822950</v>
      </c>
      <c r="H61" s="139">
        <v>822950</v>
      </c>
      <c r="I61" s="139">
        <v>822950</v>
      </c>
      <c r="J61" s="139">
        <v>822950</v>
      </c>
      <c r="K61" s="139">
        <v>822950</v>
      </c>
      <c r="L61" s="139">
        <v>822950</v>
      </c>
      <c r="M61" s="139">
        <v>822950</v>
      </c>
      <c r="N61" s="139">
        <v>822950</v>
      </c>
      <c r="O61" s="139">
        <v>822950</v>
      </c>
      <c r="P61" s="139">
        <v>822942</v>
      </c>
      <c r="Q61" s="139">
        <f t="shared" si="10"/>
        <v>9875392</v>
      </c>
    </row>
    <row r="62" spans="1:17" x14ac:dyDescent="0.25">
      <c r="B62" s="118">
        <v>7</v>
      </c>
      <c r="C62" s="120" t="s">
        <v>48</v>
      </c>
      <c r="D62" s="139">
        <v>21716530</v>
      </c>
      <c r="E62" s="139">
        <v>1609710</v>
      </c>
      <c r="F62" s="139">
        <v>1609710</v>
      </c>
      <c r="G62" s="139">
        <v>1609710</v>
      </c>
      <c r="H62" s="139">
        <v>1609710</v>
      </c>
      <c r="I62" s="139">
        <v>1609710</v>
      </c>
      <c r="J62" s="139">
        <v>1609710</v>
      </c>
      <c r="K62" s="139">
        <v>1609710</v>
      </c>
      <c r="L62" s="139">
        <v>1609710</v>
      </c>
      <c r="M62" s="139">
        <v>4009720</v>
      </c>
      <c r="N62" s="139">
        <v>1609710</v>
      </c>
      <c r="O62" s="139">
        <v>1609710</v>
      </c>
      <c r="P62" s="139">
        <v>1609710</v>
      </c>
      <c r="Q62" s="139">
        <f t="shared" si="10"/>
        <v>21716530</v>
      </c>
    </row>
    <row r="63" spans="1:17" x14ac:dyDescent="0.25">
      <c r="B63" s="118">
        <v>8</v>
      </c>
      <c r="C63" s="120" t="s">
        <v>44</v>
      </c>
      <c r="D63" s="139">
        <v>580000</v>
      </c>
      <c r="E63" s="139">
        <v>0</v>
      </c>
      <c r="F63" s="139">
        <v>0</v>
      </c>
      <c r="G63" s="139">
        <v>0</v>
      </c>
      <c r="H63" s="139">
        <v>0</v>
      </c>
      <c r="I63" s="139">
        <v>580000</v>
      </c>
      <c r="J63" s="139">
        <v>0</v>
      </c>
      <c r="K63" s="139">
        <v>0</v>
      </c>
      <c r="L63" s="139">
        <v>0</v>
      </c>
      <c r="M63" s="139">
        <v>0</v>
      </c>
      <c r="N63" s="139">
        <v>0</v>
      </c>
      <c r="O63" s="139">
        <v>0</v>
      </c>
      <c r="P63" s="139">
        <v>0</v>
      </c>
      <c r="Q63" s="139">
        <f t="shared" si="10"/>
        <v>580000</v>
      </c>
    </row>
    <row r="64" spans="1:17" x14ac:dyDescent="0.25">
      <c r="B64" s="118">
        <v>9</v>
      </c>
      <c r="C64" s="121" t="s">
        <v>249</v>
      </c>
      <c r="D64" s="140">
        <f>SUM(D60:D63)</f>
        <v>105298013</v>
      </c>
      <c r="E64" s="140">
        <f>SUM(E60:E63)</f>
        <v>8526500</v>
      </c>
      <c r="F64" s="140">
        <f t="shared" ref="F64:P64" si="12">SUM(F60:F63)</f>
        <v>8526500</v>
      </c>
      <c r="G64" s="140">
        <f t="shared" si="12"/>
        <v>8526500</v>
      </c>
      <c r="H64" s="140">
        <f t="shared" si="12"/>
        <v>8526500</v>
      </c>
      <c r="I64" s="140">
        <f t="shared" si="12"/>
        <v>9106500</v>
      </c>
      <c r="J64" s="140">
        <f t="shared" si="12"/>
        <v>8526500</v>
      </c>
      <c r="K64" s="140">
        <f t="shared" si="12"/>
        <v>8526500</v>
      </c>
      <c r="L64" s="140">
        <f t="shared" si="12"/>
        <v>8526500</v>
      </c>
      <c r="M64" s="140">
        <f t="shared" si="12"/>
        <v>10926510</v>
      </c>
      <c r="N64" s="140">
        <f t="shared" si="12"/>
        <v>8526500</v>
      </c>
      <c r="O64" s="140">
        <f t="shared" si="12"/>
        <v>8526500</v>
      </c>
      <c r="P64" s="140">
        <f t="shared" si="12"/>
        <v>8526503</v>
      </c>
      <c r="Q64" s="140">
        <f>SUM(E64:P64)</f>
        <v>105298013</v>
      </c>
    </row>
  </sheetData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D53"/>
  <sheetViews>
    <sheetView zoomScale="115" zoomScaleNormal="115" zoomScaleSheetLayoutView="115" workbookViewId="0">
      <selection activeCell="B45" sqref="B45:D52"/>
    </sheetView>
  </sheetViews>
  <sheetFormatPr defaultColWidth="37.7109375" defaultRowHeight="15" x14ac:dyDescent="0.25"/>
  <cols>
    <col min="1" max="1" width="9" style="96" customWidth="1"/>
    <col min="2" max="2" width="4.7109375" style="96" customWidth="1"/>
    <col min="3" max="3" width="32.5703125" style="96" customWidth="1"/>
    <col min="4" max="4" width="20.140625" style="96" customWidth="1"/>
    <col min="5" max="16384" width="37.7109375" style="96"/>
  </cols>
  <sheetData>
    <row r="2" spans="1:4" x14ac:dyDescent="0.25">
      <c r="A2" s="109"/>
      <c r="B2" s="93" t="s">
        <v>164</v>
      </c>
    </row>
    <row r="4" spans="1:4" ht="15.75" thickBot="1" x14ac:dyDescent="0.3">
      <c r="B4" s="33"/>
      <c r="C4" s="33" t="s">
        <v>15</v>
      </c>
      <c r="D4" s="33" t="s">
        <v>206</v>
      </c>
    </row>
    <row r="5" spans="1:4" x14ac:dyDescent="0.25">
      <c r="B5" s="34" t="s">
        <v>126</v>
      </c>
      <c r="C5" s="35" t="s">
        <v>131</v>
      </c>
      <c r="D5" s="37">
        <f>SUM(D6:D7)</f>
        <v>88900</v>
      </c>
    </row>
    <row r="6" spans="1:4" x14ac:dyDescent="0.25">
      <c r="B6" s="110" t="s">
        <v>79</v>
      </c>
      <c r="C6" s="31" t="s">
        <v>72</v>
      </c>
      <c r="D6" s="32">
        <v>70000</v>
      </c>
    </row>
    <row r="7" spans="1:4" ht="15.75" thickBot="1" x14ac:dyDescent="0.3">
      <c r="B7" s="111" t="s">
        <v>80</v>
      </c>
      <c r="C7" s="39" t="s">
        <v>73</v>
      </c>
      <c r="D7" s="40">
        <f>D6*0.27</f>
        <v>18900</v>
      </c>
    </row>
    <row r="8" spans="1:4" x14ac:dyDescent="0.25">
      <c r="B8" s="34" t="s">
        <v>87</v>
      </c>
      <c r="C8" s="35" t="s">
        <v>132</v>
      </c>
      <c r="D8" s="37">
        <f>SUM(D9:D12)</f>
        <v>29438222.899999999</v>
      </c>
    </row>
    <row r="9" spans="1:4" x14ac:dyDescent="0.25">
      <c r="B9" s="110" t="s">
        <v>89</v>
      </c>
      <c r="C9" s="31" t="s">
        <v>138</v>
      </c>
      <c r="D9" s="32">
        <v>24000629</v>
      </c>
    </row>
    <row r="10" spans="1:4" x14ac:dyDescent="0.25">
      <c r="B10" s="110" t="s">
        <v>90</v>
      </c>
      <c r="C10" s="31" t="s">
        <v>139</v>
      </c>
      <c r="D10" s="32">
        <v>50000</v>
      </c>
    </row>
    <row r="11" spans="1:4" ht="21" x14ac:dyDescent="0.25">
      <c r="B11" s="110" t="s">
        <v>91</v>
      </c>
      <c r="C11" s="31" t="s">
        <v>207</v>
      </c>
      <c r="D11" s="32">
        <v>4231570</v>
      </c>
    </row>
    <row r="12" spans="1:4" ht="15.75" thickBot="1" x14ac:dyDescent="0.3">
      <c r="B12" s="110" t="s">
        <v>91</v>
      </c>
      <c r="C12" s="31" t="s">
        <v>137</v>
      </c>
      <c r="D12" s="32">
        <f>(D10+D11)*0.27</f>
        <v>1156023.9000000001</v>
      </c>
    </row>
    <row r="13" spans="1:4" x14ac:dyDescent="0.25">
      <c r="B13" s="34" t="s">
        <v>124</v>
      </c>
      <c r="C13" s="35" t="s">
        <v>133</v>
      </c>
      <c r="D13" s="37">
        <f>SUM(D14:D15)</f>
        <v>4445000</v>
      </c>
    </row>
    <row r="14" spans="1:4" x14ac:dyDescent="0.25">
      <c r="B14" s="110" t="s">
        <v>99</v>
      </c>
      <c r="C14" s="31" t="s">
        <v>136</v>
      </c>
      <c r="D14" s="32">
        <v>3500000</v>
      </c>
    </row>
    <row r="15" spans="1:4" ht="15.75" thickBot="1" x14ac:dyDescent="0.3">
      <c r="B15" s="112" t="s">
        <v>100</v>
      </c>
      <c r="C15" s="59" t="s">
        <v>137</v>
      </c>
      <c r="D15" s="60">
        <v>945000</v>
      </c>
    </row>
    <row r="16" spans="1:4" x14ac:dyDescent="0.25">
      <c r="B16" s="34" t="s">
        <v>130</v>
      </c>
      <c r="C16" s="35" t="s">
        <v>134</v>
      </c>
      <c r="D16" s="37">
        <f>SUM(D17:D18)</f>
        <v>11896693.25</v>
      </c>
    </row>
    <row r="17" spans="1:4" x14ac:dyDescent="0.25">
      <c r="B17" s="110" t="s">
        <v>102</v>
      </c>
      <c r="C17" s="31" t="s">
        <v>194</v>
      </c>
      <c r="D17" s="32">
        <v>9367475</v>
      </c>
    </row>
    <row r="18" spans="1:4" ht="15.75" thickBot="1" x14ac:dyDescent="0.3">
      <c r="B18" s="113" t="s">
        <v>135</v>
      </c>
      <c r="C18" s="36" t="s">
        <v>137</v>
      </c>
      <c r="D18" s="38">
        <f>D17*0.27</f>
        <v>2529218.25</v>
      </c>
    </row>
    <row r="19" spans="1:4" ht="15.75" thickBot="1" x14ac:dyDescent="0.3">
      <c r="B19" s="102" t="s">
        <v>208</v>
      </c>
      <c r="C19" s="103" t="s">
        <v>209</v>
      </c>
      <c r="D19" s="104">
        <v>24540906</v>
      </c>
    </row>
    <row r="20" spans="1:4" ht="29.25" customHeight="1" x14ac:dyDescent="0.25">
      <c r="B20" s="167" t="s">
        <v>29</v>
      </c>
      <c r="C20" s="167"/>
      <c r="D20" s="79">
        <f>SUM(D5,D8,D13,D16,D19)</f>
        <v>70409722.150000006</v>
      </c>
    </row>
    <row r="23" spans="1:4" x14ac:dyDescent="0.25">
      <c r="A23" s="109"/>
      <c r="B23" s="93" t="s">
        <v>165</v>
      </c>
    </row>
    <row r="24" spans="1:4" x14ac:dyDescent="0.25">
      <c r="D24" s="30"/>
    </row>
    <row r="25" spans="1:4" x14ac:dyDescent="0.25">
      <c r="D25" s="30"/>
    </row>
    <row r="26" spans="1:4" ht="15.75" thickBot="1" x14ac:dyDescent="0.3">
      <c r="B26" s="33"/>
      <c r="C26" s="33" t="s">
        <v>15</v>
      </c>
      <c r="D26" s="33" t="s">
        <v>206</v>
      </c>
    </row>
    <row r="27" spans="1:4" x14ac:dyDescent="0.25">
      <c r="B27" s="41" t="s">
        <v>77</v>
      </c>
      <c r="C27" s="35" t="s">
        <v>141</v>
      </c>
      <c r="D27" s="37">
        <v>610000</v>
      </c>
    </row>
    <row r="28" spans="1:4" x14ac:dyDescent="0.25">
      <c r="B28" s="110" t="s">
        <v>79</v>
      </c>
      <c r="C28" s="31" t="s">
        <v>110</v>
      </c>
      <c r="D28" s="32">
        <v>600000</v>
      </c>
    </row>
    <row r="29" spans="1:4" ht="15.75" thickBot="1" x14ac:dyDescent="0.3">
      <c r="B29" s="113" t="s">
        <v>80</v>
      </c>
      <c r="C29" s="36" t="s">
        <v>128</v>
      </c>
      <c r="D29" s="38">
        <v>10000</v>
      </c>
    </row>
    <row r="30" spans="1:4" ht="21.75" customHeight="1" x14ac:dyDescent="0.25">
      <c r="B30" s="166" t="s">
        <v>29</v>
      </c>
      <c r="C30" s="166"/>
      <c r="D30" s="71">
        <f>SUM(D27,)</f>
        <v>610000</v>
      </c>
    </row>
    <row r="33" spans="1:4" x14ac:dyDescent="0.25">
      <c r="A33" s="109"/>
      <c r="B33" s="93" t="s">
        <v>166</v>
      </c>
    </row>
    <row r="36" spans="1:4" ht="15.75" customHeight="1" thickBot="1" x14ac:dyDescent="0.3">
      <c r="B36" s="33"/>
      <c r="C36" s="33" t="s">
        <v>15</v>
      </c>
      <c r="D36" s="33" t="s">
        <v>206</v>
      </c>
    </row>
    <row r="37" spans="1:4" ht="15.75" customHeight="1" x14ac:dyDescent="0.25">
      <c r="B37" s="41" t="s">
        <v>77</v>
      </c>
      <c r="C37" s="35" t="s">
        <v>142</v>
      </c>
      <c r="D37" s="37">
        <f>SUM(D38:D39)</f>
        <v>10066179</v>
      </c>
    </row>
    <row r="38" spans="1:4" x14ac:dyDescent="0.25">
      <c r="B38" s="110" t="s">
        <v>79</v>
      </c>
      <c r="C38" s="31" t="s">
        <v>112</v>
      </c>
      <c r="D38" s="32">
        <v>8971280</v>
      </c>
    </row>
    <row r="39" spans="1:4" x14ac:dyDescent="0.25">
      <c r="B39" s="110" t="s">
        <v>80</v>
      </c>
      <c r="C39" s="31" t="s">
        <v>137</v>
      </c>
      <c r="D39" s="32">
        <v>1094899</v>
      </c>
    </row>
    <row r="40" spans="1:4" ht="21" customHeight="1" x14ac:dyDescent="0.25">
      <c r="B40" s="166" t="s">
        <v>29</v>
      </c>
      <c r="C40" s="166"/>
      <c r="D40" s="71">
        <f>SUM(D37)</f>
        <v>10066179</v>
      </c>
    </row>
    <row r="43" spans="1:4" x14ac:dyDescent="0.25">
      <c r="A43" s="109"/>
      <c r="B43" s="93" t="s">
        <v>167</v>
      </c>
    </row>
    <row r="45" spans="1:4" ht="15.75" customHeight="1" thickBot="1" x14ac:dyDescent="0.3">
      <c r="B45" s="33"/>
      <c r="C45" s="33" t="s">
        <v>140</v>
      </c>
      <c r="D45" s="33" t="s">
        <v>206</v>
      </c>
    </row>
    <row r="46" spans="1:4" ht="15.75" customHeight="1" x14ac:dyDescent="0.25">
      <c r="B46" s="34" t="s">
        <v>77</v>
      </c>
      <c r="C46" s="43" t="s">
        <v>143</v>
      </c>
      <c r="D46" s="18">
        <f>SUM(D47:D48)</f>
        <v>12164314</v>
      </c>
    </row>
    <row r="47" spans="1:4" x14ac:dyDescent="0.25">
      <c r="B47" s="110" t="s">
        <v>79</v>
      </c>
      <c r="C47" s="42" t="s">
        <v>112</v>
      </c>
      <c r="D47" s="20">
        <v>9578200</v>
      </c>
    </row>
    <row r="48" spans="1:4" x14ac:dyDescent="0.25">
      <c r="B48" s="110" t="s">
        <v>80</v>
      </c>
      <c r="C48" s="42" t="s">
        <v>137</v>
      </c>
      <c r="D48" s="20">
        <f>D47*0.27</f>
        <v>2586114</v>
      </c>
    </row>
    <row r="49" spans="2:4" ht="15.75" customHeight="1" thickBot="1" x14ac:dyDescent="0.3">
      <c r="B49" s="45" t="s">
        <v>87</v>
      </c>
      <c r="C49" s="46" t="s">
        <v>144</v>
      </c>
      <c r="D49" s="22">
        <v>950000</v>
      </c>
    </row>
    <row r="50" spans="2:4" ht="15.75" customHeight="1" x14ac:dyDescent="0.25">
      <c r="B50" s="34" t="s">
        <v>93</v>
      </c>
      <c r="C50" s="43" t="s">
        <v>145</v>
      </c>
      <c r="D50" s="18">
        <f>D51</f>
        <v>510250</v>
      </c>
    </row>
    <row r="51" spans="2:4" ht="15.75" thickBot="1" x14ac:dyDescent="0.3">
      <c r="B51" s="113" t="s">
        <v>99</v>
      </c>
      <c r="C51" s="44" t="s">
        <v>146</v>
      </c>
      <c r="D51" s="21">
        <v>510250</v>
      </c>
    </row>
    <row r="52" spans="2:4" ht="24" customHeight="1" x14ac:dyDescent="0.25">
      <c r="B52" s="166" t="s">
        <v>29</v>
      </c>
      <c r="C52" s="166"/>
      <c r="D52" s="71">
        <f xml:space="preserve"> SUM(D46,D49,D50)</f>
        <v>13624564</v>
      </c>
    </row>
    <row r="53" spans="2:4" x14ac:dyDescent="0.25">
      <c r="B53" s="114"/>
      <c r="C53" s="114"/>
    </row>
  </sheetData>
  <mergeCells count="4">
    <mergeCell ref="B40:C40"/>
    <mergeCell ref="B20:C20"/>
    <mergeCell ref="B30:C30"/>
    <mergeCell ref="B52:C52"/>
  </mergeCells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75"/>
  <sheetViews>
    <sheetView zoomScale="115" zoomScaleNormal="115" workbookViewId="0">
      <pane ySplit="4" topLeftCell="A5" activePane="bottomLeft" state="frozen"/>
      <selection pane="bottomLeft" activeCell="P4" sqref="P4"/>
    </sheetView>
  </sheetViews>
  <sheetFormatPr defaultRowHeight="9" x14ac:dyDescent="0.15"/>
  <cols>
    <col min="1" max="1" width="9.140625" style="7"/>
    <col min="2" max="2" width="32.140625" style="61" customWidth="1"/>
    <col min="3" max="3" width="13.7109375" style="7" bestFit="1" customWidth="1"/>
    <col min="4" max="4" width="9.140625" style="7" bestFit="1" customWidth="1"/>
    <col min="5" max="5" width="8.42578125" style="7" bestFit="1" customWidth="1"/>
    <col min="6" max="6" width="10" style="7" bestFit="1" customWidth="1"/>
    <col min="7" max="7" width="8.42578125" style="7" bestFit="1" customWidth="1"/>
    <col min="8" max="9" width="9.140625" style="7" bestFit="1" customWidth="1"/>
    <col min="10" max="10" width="10" style="7" bestFit="1" customWidth="1"/>
    <col min="11" max="11" width="8.5703125" style="7" bestFit="1" customWidth="1"/>
    <col min="12" max="12" width="10" style="7" bestFit="1" customWidth="1"/>
    <col min="13" max="13" width="9.140625" style="7" bestFit="1" customWidth="1"/>
    <col min="14" max="14" width="11.140625" style="7" bestFit="1" customWidth="1"/>
    <col min="15" max="16384" width="9.140625" style="7"/>
  </cols>
  <sheetData>
    <row r="3" spans="2:14" ht="16.5" customHeight="1" x14ac:dyDescent="0.15">
      <c r="B3" s="175" t="s">
        <v>38</v>
      </c>
      <c r="C3" s="174" t="s">
        <v>16</v>
      </c>
      <c r="D3" s="174" t="s">
        <v>43</v>
      </c>
      <c r="E3" s="174"/>
      <c r="F3" s="174"/>
      <c r="G3" s="174"/>
      <c r="H3" s="174"/>
      <c r="I3" s="174" t="s">
        <v>44</v>
      </c>
      <c r="J3" s="174"/>
      <c r="K3" s="174"/>
      <c r="L3" s="6"/>
      <c r="M3" s="3" t="s">
        <v>45</v>
      </c>
      <c r="N3" s="174" t="s">
        <v>29</v>
      </c>
    </row>
    <row r="4" spans="2:14" ht="42" x14ac:dyDescent="0.15">
      <c r="B4" s="175"/>
      <c r="C4" s="174"/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 t="s">
        <v>51</v>
      </c>
      <c r="J4" s="3" t="s">
        <v>52</v>
      </c>
      <c r="K4" s="3" t="s">
        <v>53</v>
      </c>
      <c r="L4" s="3" t="s">
        <v>54</v>
      </c>
      <c r="M4" s="3" t="s">
        <v>55</v>
      </c>
      <c r="N4" s="174"/>
    </row>
    <row r="5" spans="2:14" ht="11.25" thickBot="1" x14ac:dyDescent="0.2">
      <c r="B5" s="170" t="s">
        <v>56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2:14" ht="10.5" x14ac:dyDescent="0.15">
      <c r="B6" s="62" t="s">
        <v>57</v>
      </c>
      <c r="C6" s="16" t="s">
        <v>159</v>
      </c>
      <c r="D6" s="18">
        <v>35176754</v>
      </c>
      <c r="E6" s="18">
        <v>4947978</v>
      </c>
      <c r="F6" s="18">
        <v>33324950</v>
      </c>
      <c r="G6" s="80"/>
      <c r="H6" s="18">
        <v>770000</v>
      </c>
      <c r="I6" s="80"/>
      <c r="J6" s="80"/>
      <c r="K6" s="80"/>
      <c r="L6" s="18"/>
      <c r="M6" s="18">
        <v>1528277</v>
      </c>
      <c r="N6" s="19">
        <f>SUM(D6:M6)</f>
        <v>75747959</v>
      </c>
    </row>
    <row r="7" spans="2:14" ht="11.25" thickBot="1" x14ac:dyDescent="0.2">
      <c r="B7" s="69"/>
      <c r="C7" s="27" t="s">
        <v>168</v>
      </c>
      <c r="D7" s="85">
        <f>35176754-1385074</f>
        <v>33791680</v>
      </c>
      <c r="E7" s="21">
        <v>4947978</v>
      </c>
      <c r="F7" s="85">
        <f>33324950+67350+18185</f>
        <v>33410485</v>
      </c>
      <c r="G7" s="81"/>
      <c r="H7" s="21">
        <v>770000</v>
      </c>
      <c r="I7" s="81"/>
      <c r="J7" s="81"/>
      <c r="K7" s="81"/>
      <c r="L7" s="21"/>
      <c r="M7" s="85">
        <v>2109277</v>
      </c>
      <c r="N7" s="87">
        <f>SUM(D7:M7)</f>
        <v>75029420</v>
      </c>
    </row>
    <row r="8" spans="2:14" ht="10.5" x14ac:dyDescent="0.15">
      <c r="B8" s="62" t="s">
        <v>58</v>
      </c>
      <c r="C8" s="16" t="s">
        <v>159</v>
      </c>
      <c r="D8" s="18"/>
      <c r="E8" s="18"/>
      <c r="F8" s="18">
        <f>5623662+457200</f>
        <v>6080862</v>
      </c>
      <c r="G8" s="80"/>
      <c r="H8" s="18"/>
      <c r="I8" s="80"/>
      <c r="J8" s="80">
        <v>0</v>
      </c>
      <c r="K8" s="80"/>
      <c r="L8" s="18"/>
      <c r="M8" s="18"/>
      <c r="N8" s="19">
        <f t="shared" ref="N8:N56" si="0">SUM(D8:M8)</f>
        <v>6080862</v>
      </c>
    </row>
    <row r="9" spans="2:14" ht="11.25" thickBot="1" x14ac:dyDescent="0.2">
      <c r="B9" s="69"/>
      <c r="C9" s="27" t="s">
        <v>168</v>
      </c>
      <c r="D9" s="21"/>
      <c r="E9" s="21"/>
      <c r="F9" s="21">
        <f>5623662+457200</f>
        <v>6080862</v>
      </c>
      <c r="G9" s="81"/>
      <c r="H9" s="21"/>
      <c r="I9" s="81"/>
      <c r="J9" s="88">
        <f>1200000+1823720</f>
        <v>3023720</v>
      </c>
      <c r="K9" s="81"/>
      <c r="L9" s="21"/>
      <c r="M9" s="21"/>
      <c r="N9" s="87">
        <f t="shared" si="0"/>
        <v>9104582</v>
      </c>
    </row>
    <row r="10" spans="2:14" ht="10.5" x14ac:dyDescent="0.15">
      <c r="B10" s="62" t="s">
        <v>59</v>
      </c>
      <c r="C10" s="16" t="s">
        <v>159</v>
      </c>
      <c r="D10" s="18">
        <v>1610286</v>
      </c>
      <c r="E10" s="18">
        <v>209337</v>
      </c>
      <c r="F10" s="18"/>
      <c r="G10" s="80"/>
      <c r="H10" s="18"/>
      <c r="I10" s="80"/>
      <c r="J10" s="80"/>
      <c r="K10" s="80"/>
      <c r="L10" s="18"/>
      <c r="M10" s="18"/>
      <c r="N10" s="19">
        <f t="shared" si="0"/>
        <v>1819623</v>
      </c>
    </row>
    <row r="11" spans="2:14" ht="11.25" thickBot="1" x14ac:dyDescent="0.2">
      <c r="B11" s="69"/>
      <c r="C11" s="27" t="s">
        <v>168</v>
      </c>
      <c r="D11" s="21">
        <f>D10+4623429</f>
        <v>6233715</v>
      </c>
      <c r="E11" s="21">
        <f>E10+601046</f>
        <v>810383</v>
      </c>
      <c r="F11" s="21"/>
      <c r="G11" s="81"/>
      <c r="H11" s="21"/>
      <c r="I11" s="81"/>
      <c r="J11" s="81"/>
      <c r="K11" s="81"/>
      <c r="L11" s="21"/>
      <c r="M11" s="21"/>
      <c r="N11" s="70">
        <f t="shared" si="0"/>
        <v>7044098</v>
      </c>
    </row>
    <row r="12" spans="2:14" ht="10.5" x14ac:dyDescent="0.15">
      <c r="B12" s="62" t="s">
        <v>60</v>
      </c>
      <c r="C12" s="16" t="s">
        <v>159</v>
      </c>
      <c r="D12" s="18"/>
      <c r="E12" s="18"/>
      <c r="F12" s="18">
        <v>3810000</v>
      </c>
      <c r="G12" s="80"/>
      <c r="H12" s="18"/>
      <c r="I12" s="80"/>
      <c r="J12" s="80">
        <v>293791305</v>
      </c>
      <c r="K12" s="80"/>
      <c r="L12" s="18"/>
      <c r="M12" s="18"/>
      <c r="N12" s="19">
        <f t="shared" si="0"/>
        <v>297601305</v>
      </c>
    </row>
    <row r="13" spans="2:14" ht="11.25" thickBot="1" x14ac:dyDescent="0.2">
      <c r="B13" s="69"/>
      <c r="C13" s="27" t="s">
        <v>168</v>
      </c>
      <c r="D13" s="21"/>
      <c r="E13" s="21"/>
      <c r="F13" s="21">
        <v>3810000</v>
      </c>
      <c r="G13" s="81"/>
      <c r="H13" s="21"/>
      <c r="I13" s="81"/>
      <c r="J13" s="88">
        <f>J12-57329717-4300000+9200000-8383067</f>
        <v>232978521</v>
      </c>
      <c r="K13" s="81"/>
      <c r="L13" s="21"/>
      <c r="M13" s="21"/>
      <c r="N13" s="87">
        <f t="shared" si="0"/>
        <v>236788521</v>
      </c>
    </row>
    <row r="14" spans="2:14" ht="10.5" x14ac:dyDescent="0.15">
      <c r="B14" s="62" t="s">
        <v>61</v>
      </c>
      <c r="C14" s="16" t="s">
        <v>159</v>
      </c>
      <c r="D14" s="18"/>
      <c r="E14" s="18"/>
      <c r="F14" s="18">
        <v>3810000</v>
      </c>
      <c r="G14" s="80"/>
      <c r="H14" s="18"/>
      <c r="I14" s="80"/>
      <c r="J14" s="80"/>
      <c r="K14" s="80"/>
      <c r="L14" s="18"/>
      <c r="M14" s="18"/>
      <c r="N14" s="19">
        <f t="shared" si="0"/>
        <v>3810000</v>
      </c>
    </row>
    <row r="15" spans="2:14" ht="11.25" thickBot="1" x14ac:dyDescent="0.2">
      <c r="B15" s="69"/>
      <c r="C15" s="27" t="s">
        <v>168</v>
      </c>
      <c r="D15" s="21"/>
      <c r="E15" s="21"/>
      <c r="F15" s="21">
        <v>3810000</v>
      </c>
      <c r="G15" s="81"/>
      <c r="H15" s="21"/>
      <c r="I15" s="81"/>
      <c r="J15" s="81"/>
      <c r="K15" s="81"/>
      <c r="L15" s="21"/>
      <c r="M15" s="21"/>
      <c r="N15" s="70">
        <f t="shared" si="0"/>
        <v>3810000</v>
      </c>
    </row>
    <row r="16" spans="2:14" ht="10.5" x14ac:dyDescent="0.15">
      <c r="B16" s="62" t="s">
        <v>62</v>
      </c>
      <c r="C16" s="16" t="s">
        <v>159</v>
      </c>
      <c r="D16" s="18"/>
      <c r="E16" s="18"/>
      <c r="F16" s="18">
        <v>13208000</v>
      </c>
      <c r="G16" s="80"/>
      <c r="H16" s="18"/>
      <c r="I16" s="80">
        <v>0</v>
      </c>
      <c r="J16" s="80"/>
      <c r="K16" s="80"/>
      <c r="L16" s="18"/>
      <c r="M16" s="18"/>
      <c r="N16" s="19">
        <f t="shared" si="0"/>
        <v>13208000</v>
      </c>
    </row>
    <row r="17" spans="2:14" ht="11.25" thickBot="1" x14ac:dyDescent="0.2">
      <c r="B17" s="69"/>
      <c r="C17" s="27" t="s">
        <v>168</v>
      </c>
      <c r="D17" s="21"/>
      <c r="E17" s="21"/>
      <c r="F17" s="21">
        <v>13208000</v>
      </c>
      <c r="G17" s="81"/>
      <c r="H17" s="21"/>
      <c r="I17" s="81">
        <v>380873</v>
      </c>
      <c r="J17" s="81"/>
      <c r="K17" s="81"/>
      <c r="L17" s="21"/>
      <c r="M17" s="21"/>
      <c r="N17" s="70">
        <f t="shared" si="0"/>
        <v>13588873</v>
      </c>
    </row>
    <row r="18" spans="2:14" ht="10.5" x14ac:dyDescent="0.15">
      <c r="B18" s="62" t="s">
        <v>63</v>
      </c>
      <c r="C18" s="16" t="s">
        <v>159</v>
      </c>
      <c r="D18" s="18">
        <v>9959668</v>
      </c>
      <c r="E18" s="18">
        <v>1082077</v>
      </c>
      <c r="F18" s="18">
        <v>8330250</v>
      </c>
      <c r="G18" s="80"/>
      <c r="H18" s="18"/>
      <c r="I18" s="80"/>
      <c r="J18" s="80"/>
      <c r="K18" s="80"/>
      <c r="L18" s="18"/>
      <c r="M18" s="18"/>
      <c r="N18" s="19">
        <f t="shared" si="0"/>
        <v>19371995</v>
      </c>
    </row>
    <row r="19" spans="2:14" ht="11.25" thickBot="1" x14ac:dyDescent="0.2">
      <c r="B19" s="69"/>
      <c r="C19" s="27" t="s">
        <v>168</v>
      </c>
      <c r="D19" s="21">
        <f>9959668+763873</f>
        <v>10723541</v>
      </c>
      <c r="E19" s="21">
        <f>1082077+311984</f>
        <v>1394061</v>
      </c>
      <c r="F19" s="21">
        <v>8330250</v>
      </c>
      <c r="G19" s="81"/>
      <c r="H19" s="21"/>
      <c r="I19" s="81"/>
      <c r="J19" s="81"/>
      <c r="K19" s="81"/>
      <c r="L19" s="21"/>
      <c r="M19" s="21"/>
      <c r="N19" s="70">
        <f t="shared" si="0"/>
        <v>20447852</v>
      </c>
    </row>
    <row r="20" spans="2:14" ht="10.5" x14ac:dyDescent="0.15">
      <c r="B20" s="62" t="s">
        <v>64</v>
      </c>
      <c r="C20" s="16" t="s">
        <v>159</v>
      </c>
      <c r="D20" s="18"/>
      <c r="E20" s="18"/>
      <c r="F20" s="18">
        <v>5156200</v>
      </c>
      <c r="G20" s="80"/>
      <c r="H20" s="18"/>
      <c r="I20" s="80">
        <v>0</v>
      </c>
      <c r="J20" s="80"/>
      <c r="K20" s="80"/>
      <c r="L20" s="18"/>
      <c r="M20" s="18"/>
      <c r="N20" s="19">
        <f t="shared" si="0"/>
        <v>5156200</v>
      </c>
    </row>
    <row r="21" spans="2:14" ht="11.25" thickBot="1" x14ac:dyDescent="0.2">
      <c r="B21" s="69"/>
      <c r="C21" s="27" t="s">
        <v>168</v>
      </c>
      <c r="D21" s="21"/>
      <c r="E21" s="21"/>
      <c r="F21" s="21">
        <v>5156200</v>
      </c>
      <c r="G21" s="81"/>
      <c r="H21" s="21"/>
      <c r="I21" s="88">
        <v>87850</v>
      </c>
      <c r="J21" s="81"/>
      <c r="K21" s="81"/>
      <c r="L21" s="21"/>
      <c r="M21" s="21"/>
      <c r="N21" s="87">
        <f t="shared" si="0"/>
        <v>5244050</v>
      </c>
    </row>
    <row r="22" spans="2:14" ht="21" x14ac:dyDescent="0.15">
      <c r="B22" s="62" t="s">
        <v>65</v>
      </c>
      <c r="C22" s="16" t="s">
        <v>159</v>
      </c>
      <c r="D22" s="18">
        <v>4661015</v>
      </c>
      <c r="E22" s="18">
        <v>761932</v>
      </c>
      <c r="F22" s="18"/>
      <c r="G22" s="80"/>
      <c r="H22" s="18"/>
      <c r="I22" s="80"/>
      <c r="J22" s="80"/>
      <c r="K22" s="80"/>
      <c r="L22" s="18"/>
      <c r="M22" s="18"/>
      <c r="N22" s="19">
        <f t="shared" si="0"/>
        <v>5422947</v>
      </c>
    </row>
    <row r="23" spans="2:14" ht="11.25" thickBot="1" x14ac:dyDescent="0.2">
      <c r="B23" s="69"/>
      <c r="C23" s="27" t="s">
        <v>168</v>
      </c>
      <c r="D23" s="21">
        <v>4661015</v>
      </c>
      <c r="E23" s="21">
        <v>761932</v>
      </c>
      <c r="F23" s="21"/>
      <c r="G23" s="81"/>
      <c r="H23" s="21"/>
      <c r="I23" s="88">
        <v>631400</v>
      </c>
      <c r="J23" s="81"/>
      <c r="K23" s="81"/>
      <c r="L23" s="21"/>
      <c r="M23" s="21"/>
      <c r="N23" s="87">
        <f t="shared" si="0"/>
        <v>6054347</v>
      </c>
    </row>
    <row r="24" spans="2:14" ht="10.5" x14ac:dyDescent="0.15">
      <c r="B24" s="62" t="s">
        <v>66</v>
      </c>
      <c r="C24" s="16" t="s">
        <v>159</v>
      </c>
      <c r="D24" s="18"/>
      <c r="E24" s="18"/>
      <c r="F24" s="18">
        <v>24957405</v>
      </c>
      <c r="G24" s="80"/>
      <c r="H24" s="18"/>
      <c r="I24" s="80"/>
      <c r="J24" s="80"/>
      <c r="K24" s="80"/>
      <c r="L24" s="18"/>
      <c r="M24" s="18"/>
      <c r="N24" s="19">
        <f t="shared" si="0"/>
        <v>24957405</v>
      </c>
    </row>
    <row r="25" spans="2:14" ht="11.25" thickBot="1" x14ac:dyDescent="0.2">
      <c r="B25" s="69"/>
      <c r="C25" s="27" t="s">
        <v>168</v>
      </c>
      <c r="D25" s="21"/>
      <c r="E25" s="21"/>
      <c r="F25" s="21">
        <f>F24+1152938</f>
        <v>26110343</v>
      </c>
      <c r="G25" s="81"/>
      <c r="H25" s="21"/>
      <c r="I25" s="81"/>
      <c r="J25" s="81"/>
      <c r="K25" s="81"/>
      <c r="L25" s="21"/>
      <c r="M25" s="21"/>
      <c r="N25" s="70">
        <f t="shared" si="0"/>
        <v>26110343</v>
      </c>
    </row>
    <row r="26" spans="2:14" ht="10.5" x14ac:dyDescent="0.15">
      <c r="B26" s="62" t="s">
        <v>67</v>
      </c>
      <c r="C26" s="16" t="s">
        <v>159</v>
      </c>
      <c r="D26" s="18"/>
      <c r="E26" s="18"/>
      <c r="F26" s="18">
        <v>202032</v>
      </c>
      <c r="G26" s="80"/>
      <c r="H26" s="18"/>
      <c r="I26" s="80"/>
      <c r="J26" s="80"/>
      <c r="K26" s="80"/>
      <c r="L26" s="18"/>
      <c r="M26" s="18"/>
      <c r="N26" s="19">
        <f t="shared" si="0"/>
        <v>202032</v>
      </c>
    </row>
    <row r="27" spans="2:14" ht="11.25" thickBot="1" x14ac:dyDescent="0.2">
      <c r="B27" s="69"/>
      <c r="C27" s="27" t="s">
        <v>168</v>
      </c>
      <c r="D27" s="21"/>
      <c r="E27" s="21"/>
      <c r="F27" s="21">
        <v>202032</v>
      </c>
      <c r="G27" s="81"/>
      <c r="H27" s="21"/>
      <c r="I27" s="81"/>
      <c r="J27" s="81"/>
      <c r="K27" s="81"/>
      <c r="L27" s="21"/>
      <c r="M27" s="21"/>
      <c r="N27" s="70">
        <f t="shared" si="0"/>
        <v>202032</v>
      </c>
    </row>
    <row r="28" spans="2:14" ht="10.5" x14ac:dyDescent="0.15">
      <c r="B28" s="62" t="s">
        <v>169</v>
      </c>
      <c r="C28" s="16" t="s">
        <v>159</v>
      </c>
      <c r="D28" s="18"/>
      <c r="E28" s="18"/>
      <c r="F28" s="18">
        <f>7542330+662000</f>
        <v>8204330</v>
      </c>
      <c r="G28" s="80"/>
      <c r="H28" s="18"/>
      <c r="I28" s="80">
        <v>1200000</v>
      </c>
      <c r="J28" s="80">
        <v>10174265</v>
      </c>
      <c r="K28" s="80">
        <v>3400000</v>
      </c>
      <c r="L28" s="18"/>
      <c r="M28" s="18"/>
      <c r="N28" s="19">
        <f t="shared" si="0"/>
        <v>22978595</v>
      </c>
    </row>
    <row r="29" spans="2:14" ht="11.25" thickBot="1" x14ac:dyDescent="0.2">
      <c r="B29" s="69"/>
      <c r="C29" s="27" t="s">
        <v>168</v>
      </c>
      <c r="D29" s="21"/>
      <c r="E29" s="21"/>
      <c r="F29" s="21">
        <f>F28+91440</f>
        <v>8295770</v>
      </c>
      <c r="G29" s="81"/>
      <c r="H29" s="21"/>
      <c r="I29" s="88">
        <f>1200000+10604500+8960470+825500+585000</f>
        <v>22175470</v>
      </c>
      <c r="J29" s="81">
        <f>10174265+250000</f>
        <v>10424265</v>
      </c>
      <c r="K29" s="81">
        <v>3400000</v>
      </c>
      <c r="L29" s="21"/>
      <c r="M29" s="21"/>
      <c r="N29" s="87">
        <f t="shared" si="0"/>
        <v>44295505</v>
      </c>
    </row>
    <row r="30" spans="2:14" ht="10.5" x14ac:dyDescent="0.15">
      <c r="B30" s="62" t="s">
        <v>170</v>
      </c>
      <c r="C30" s="16" t="s">
        <v>159</v>
      </c>
      <c r="D30" s="18">
        <f>13659905+1200000</f>
        <v>14859905</v>
      </c>
      <c r="E30" s="18">
        <v>1738348</v>
      </c>
      <c r="F30" s="18">
        <v>4459570</v>
      </c>
      <c r="G30" s="80"/>
      <c r="H30" s="18"/>
      <c r="I30" s="80"/>
      <c r="J30" s="80"/>
      <c r="K30" s="80"/>
      <c r="L30" s="18"/>
      <c r="M30" s="18"/>
      <c r="N30" s="19">
        <f t="shared" si="0"/>
        <v>21057823</v>
      </c>
    </row>
    <row r="31" spans="2:14" ht="11.25" thickBot="1" x14ac:dyDescent="0.2">
      <c r="B31" s="69"/>
      <c r="C31" s="27" t="s">
        <v>168</v>
      </c>
      <c r="D31" s="85">
        <f>13659905+1200000-168000</f>
        <v>14691905</v>
      </c>
      <c r="E31" s="21">
        <v>1738348</v>
      </c>
      <c r="F31" s="21">
        <v>4459570</v>
      </c>
      <c r="G31" s="81"/>
      <c r="H31" s="21"/>
      <c r="I31" s="81"/>
      <c r="J31" s="81"/>
      <c r="K31" s="81"/>
      <c r="L31" s="21"/>
      <c r="M31" s="21"/>
      <c r="N31" s="87">
        <f t="shared" si="0"/>
        <v>20889823</v>
      </c>
    </row>
    <row r="32" spans="2:14" ht="10.5" x14ac:dyDescent="0.15">
      <c r="B32" s="62" t="s">
        <v>171</v>
      </c>
      <c r="C32" s="16" t="s">
        <v>159</v>
      </c>
      <c r="D32" s="18"/>
      <c r="E32" s="18"/>
      <c r="F32" s="18"/>
      <c r="G32" s="80">
        <v>5100000</v>
      </c>
      <c r="H32" s="18"/>
      <c r="I32" s="80"/>
      <c r="J32" s="80"/>
      <c r="K32" s="80"/>
      <c r="L32" s="18"/>
      <c r="M32" s="18"/>
      <c r="N32" s="19">
        <f t="shared" si="0"/>
        <v>5100000</v>
      </c>
    </row>
    <row r="33" spans="2:14" ht="11.25" thickBot="1" x14ac:dyDescent="0.2">
      <c r="B33" s="69"/>
      <c r="C33" s="27" t="s">
        <v>168</v>
      </c>
      <c r="D33" s="21"/>
      <c r="E33" s="21"/>
      <c r="F33" s="21"/>
      <c r="G33" s="81">
        <v>5100000</v>
      </c>
      <c r="H33" s="21"/>
      <c r="I33" s="81"/>
      <c r="J33" s="81"/>
      <c r="K33" s="81"/>
      <c r="L33" s="21"/>
      <c r="M33" s="21"/>
      <c r="N33" s="70">
        <f t="shared" si="0"/>
        <v>5100000</v>
      </c>
    </row>
    <row r="34" spans="2:14" ht="10.5" x14ac:dyDescent="0.15">
      <c r="B34" s="62" t="s">
        <v>172</v>
      </c>
      <c r="C34" s="16" t="s">
        <v>159</v>
      </c>
      <c r="D34" s="18"/>
      <c r="E34" s="18"/>
      <c r="F34" s="18">
        <v>4064000</v>
      </c>
      <c r="G34" s="80"/>
      <c r="H34" s="18"/>
      <c r="I34" s="80">
        <v>49500000</v>
      </c>
      <c r="J34" s="80"/>
      <c r="K34" s="80"/>
      <c r="L34" s="18"/>
      <c r="M34" s="18"/>
      <c r="N34" s="19">
        <f t="shared" si="0"/>
        <v>53564000</v>
      </c>
    </row>
    <row r="35" spans="2:14" ht="11.25" thickBot="1" x14ac:dyDescent="0.2">
      <c r="B35" s="69"/>
      <c r="C35" s="27" t="s">
        <v>168</v>
      </c>
      <c r="D35" s="21"/>
      <c r="E35" s="21"/>
      <c r="F35" s="21">
        <v>4064000</v>
      </c>
      <c r="G35" s="81"/>
      <c r="H35" s="21"/>
      <c r="I35" s="81">
        <v>49500000</v>
      </c>
      <c r="J35" s="81"/>
      <c r="K35" s="81"/>
      <c r="L35" s="21"/>
      <c r="M35" s="21"/>
      <c r="N35" s="70">
        <f t="shared" si="0"/>
        <v>53564000</v>
      </c>
    </row>
    <row r="36" spans="2:14" ht="10.5" x14ac:dyDescent="0.15">
      <c r="B36" s="62" t="s">
        <v>173</v>
      </c>
      <c r="C36" s="16" t="s">
        <v>159</v>
      </c>
      <c r="D36" s="18"/>
      <c r="E36" s="18"/>
      <c r="F36" s="18">
        <v>127000</v>
      </c>
      <c r="G36" s="80"/>
      <c r="H36" s="18"/>
      <c r="I36" s="80"/>
      <c r="J36" s="80"/>
      <c r="K36" s="80"/>
      <c r="L36" s="18"/>
      <c r="M36" s="18"/>
      <c r="N36" s="19">
        <f t="shared" si="0"/>
        <v>127000</v>
      </c>
    </row>
    <row r="37" spans="2:14" ht="11.25" thickBot="1" x14ac:dyDescent="0.2">
      <c r="B37" s="69"/>
      <c r="C37" s="27" t="s">
        <v>168</v>
      </c>
      <c r="D37" s="21"/>
      <c r="E37" s="21"/>
      <c r="F37" s="21">
        <f>F36+494000</f>
        <v>621000</v>
      </c>
      <c r="G37" s="81"/>
      <c r="H37" s="21"/>
      <c r="I37" s="81"/>
      <c r="J37" s="81"/>
      <c r="K37" s="81"/>
      <c r="L37" s="21"/>
      <c r="M37" s="21"/>
      <c r="N37" s="70">
        <f t="shared" si="0"/>
        <v>621000</v>
      </c>
    </row>
    <row r="38" spans="2:14" ht="10.5" x14ac:dyDescent="0.15">
      <c r="B38" s="62" t="s">
        <v>174</v>
      </c>
      <c r="C38" s="16" t="s">
        <v>159</v>
      </c>
      <c r="D38" s="18"/>
      <c r="E38" s="18"/>
      <c r="F38" s="18">
        <v>814800</v>
      </c>
      <c r="G38" s="80"/>
      <c r="H38" s="18"/>
      <c r="I38" s="80"/>
      <c r="J38" s="80"/>
      <c r="K38" s="80"/>
      <c r="L38" s="18"/>
      <c r="M38" s="18"/>
      <c r="N38" s="19">
        <f t="shared" si="0"/>
        <v>814800</v>
      </c>
    </row>
    <row r="39" spans="2:14" ht="11.25" thickBot="1" x14ac:dyDescent="0.2">
      <c r="B39" s="69"/>
      <c r="C39" s="27" t="s">
        <v>168</v>
      </c>
      <c r="D39" s="21"/>
      <c r="E39" s="21"/>
      <c r="F39" s="21">
        <v>814800</v>
      </c>
      <c r="G39" s="81"/>
      <c r="H39" s="21"/>
      <c r="I39" s="81"/>
      <c r="J39" s="81"/>
      <c r="K39" s="81"/>
      <c r="L39" s="21"/>
      <c r="M39" s="21"/>
      <c r="N39" s="70">
        <f t="shared" si="0"/>
        <v>814800</v>
      </c>
    </row>
    <row r="40" spans="2:14" ht="10.5" x14ac:dyDescent="0.15">
      <c r="B40" s="62" t="s">
        <v>175</v>
      </c>
      <c r="C40" s="16" t="s">
        <v>159</v>
      </c>
      <c r="D40" s="18"/>
      <c r="E40" s="18"/>
      <c r="F40" s="18"/>
      <c r="G40" s="80"/>
      <c r="H40" s="18"/>
      <c r="I40" s="80"/>
      <c r="J40" s="80"/>
      <c r="K40" s="80"/>
      <c r="L40" s="18"/>
      <c r="M40" s="18"/>
      <c r="N40" s="19">
        <f t="shared" si="0"/>
        <v>0</v>
      </c>
    </row>
    <row r="41" spans="2:14" ht="11.25" thickBot="1" x14ac:dyDescent="0.2">
      <c r="B41" s="69"/>
      <c r="C41" s="27" t="s">
        <v>168</v>
      </c>
      <c r="D41" s="21"/>
      <c r="E41" s="21"/>
      <c r="F41" s="21"/>
      <c r="G41" s="81"/>
      <c r="H41" s="21"/>
      <c r="I41" s="81"/>
      <c r="J41" s="81"/>
      <c r="K41" s="81"/>
      <c r="L41" s="21"/>
      <c r="M41" s="21"/>
      <c r="N41" s="70">
        <f t="shared" si="0"/>
        <v>0</v>
      </c>
    </row>
    <row r="42" spans="2:14" ht="10.5" x14ac:dyDescent="0.15">
      <c r="B42" s="62" t="s">
        <v>176</v>
      </c>
      <c r="C42" s="16" t="s">
        <v>159</v>
      </c>
      <c r="D42" s="18"/>
      <c r="E42" s="18"/>
      <c r="F42" s="18">
        <v>1983943</v>
      </c>
      <c r="G42" s="80"/>
      <c r="H42" s="18"/>
      <c r="I42" s="80">
        <v>1600000</v>
      </c>
      <c r="J42" s="80"/>
      <c r="K42" s="80"/>
      <c r="L42" s="18"/>
      <c r="M42" s="18"/>
      <c r="N42" s="19">
        <f t="shared" si="0"/>
        <v>3583943</v>
      </c>
    </row>
    <row r="43" spans="2:14" ht="11.25" thickBot="1" x14ac:dyDescent="0.2">
      <c r="B43" s="69"/>
      <c r="C43" s="27" t="s">
        <v>168</v>
      </c>
      <c r="D43" s="21"/>
      <c r="E43" s="21"/>
      <c r="F43" s="21">
        <v>1983943</v>
      </c>
      <c r="G43" s="81"/>
      <c r="H43" s="21"/>
      <c r="I43" s="81">
        <v>1600000</v>
      </c>
      <c r="J43" s="81"/>
      <c r="K43" s="81"/>
      <c r="L43" s="21"/>
      <c r="M43" s="21"/>
      <c r="N43" s="70">
        <f t="shared" si="0"/>
        <v>3583943</v>
      </c>
    </row>
    <row r="44" spans="2:14" ht="10.5" x14ac:dyDescent="0.15">
      <c r="B44" s="62" t="s">
        <v>177</v>
      </c>
      <c r="C44" s="16" t="s">
        <v>159</v>
      </c>
      <c r="D44" s="18"/>
      <c r="E44" s="18"/>
      <c r="F44" s="18">
        <f>610000+52040</f>
        <v>662040</v>
      </c>
      <c r="G44" s="80"/>
      <c r="H44" s="18"/>
      <c r="I44" s="80"/>
      <c r="J44" s="80"/>
      <c r="K44" s="80"/>
      <c r="L44" s="18"/>
      <c r="M44" s="18"/>
      <c r="N44" s="19">
        <f t="shared" si="0"/>
        <v>662040</v>
      </c>
    </row>
    <row r="45" spans="2:14" ht="11.25" thickBot="1" x14ac:dyDescent="0.2">
      <c r="B45" s="69"/>
      <c r="C45" s="27" t="s">
        <v>168</v>
      </c>
      <c r="D45" s="21"/>
      <c r="E45" s="21"/>
      <c r="F45" s="21">
        <f>F44+757720</f>
        <v>1419760</v>
      </c>
      <c r="G45" s="81"/>
      <c r="H45" s="21"/>
      <c r="I45" s="81"/>
      <c r="J45" s="81"/>
      <c r="K45" s="81"/>
      <c r="L45" s="21"/>
      <c r="M45" s="21"/>
      <c r="N45" s="70">
        <f t="shared" si="0"/>
        <v>1419760</v>
      </c>
    </row>
    <row r="46" spans="2:14" ht="10.5" x14ac:dyDescent="0.15">
      <c r="B46" s="62" t="s">
        <v>178</v>
      </c>
      <c r="C46" s="16" t="s">
        <v>159</v>
      </c>
      <c r="D46" s="18"/>
      <c r="E46" s="18"/>
      <c r="F46" s="18">
        <v>4965840</v>
      </c>
      <c r="G46" s="80"/>
      <c r="H46" s="18"/>
      <c r="I46" s="80"/>
      <c r="J46" s="80"/>
      <c r="K46" s="80"/>
      <c r="L46" s="18"/>
      <c r="M46" s="18"/>
      <c r="N46" s="19">
        <f t="shared" si="0"/>
        <v>4965840</v>
      </c>
    </row>
    <row r="47" spans="2:14" ht="11.25" thickBot="1" x14ac:dyDescent="0.2">
      <c r="B47" s="69"/>
      <c r="C47" s="27" t="s">
        <v>168</v>
      </c>
      <c r="D47" s="21"/>
      <c r="E47" s="21"/>
      <c r="F47" s="21">
        <f>F46+1235280</f>
        <v>6201120</v>
      </c>
      <c r="G47" s="81"/>
      <c r="H47" s="21"/>
      <c r="I47" s="81"/>
      <c r="J47" s="81"/>
      <c r="K47" s="81"/>
      <c r="L47" s="21"/>
      <c r="M47" s="21"/>
      <c r="N47" s="70">
        <f t="shared" si="0"/>
        <v>6201120</v>
      </c>
    </row>
    <row r="48" spans="2:14" ht="21" x14ac:dyDescent="0.15">
      <c r="B48" s="62" t="s">
        <v>179</v>
      </c>
      <c r="C48" s="16" t="s">
        <v>159</v>
      </c>
      <c r="D48" s="18"/>
      <c r="E48" s="18"/>
      <c r="F48" s="18"/>
      <c r="G48" s="80"/>
      <c r="H48" s="18">
        <v>1758986</v>
      </c>
      <c r="I48" s="80"/>
      <c r="J48" s="80"/>
      <c r="K48" s="80"/>
      <c r="L48" s="18">
        <v>9940315</v>
      </c>
      <c r="M48" s="18"/>
      <c r="N48" s="19">
        <f t="shared" si="0"/>
        <v>11699301</v>
      </c>
    </row>
    <row r="49" spans="2:14" ht="11.25" thickBot="1" x14ac:dyDescent="0.2">
      <c r="B49" s="69"/>
      <c r="C49" s="27" t="s">
        <v>168</v>
      </c>
      <c r="D49" s="21"/>
      <c r="E49" s="21"/>
      <c r="F49" s="21"/>
      <c r="G49" s="81"/>
      <c r="H49" s="85">
        <f>H48+20760489-12893265</f>
        <v>9626210</v>
      </c>
      <c r="I49" s="81"/>
      <c r="J49" s="81"/>
      <c r="K49" s="81"/>
      <c r="L49" s="85">
        <f>9940315+36893265+3550300</f>
        <v>50383880</v>
      </c>
      <c r="M49" s="21"/>
      <c r="N49" s="87">
        <f t="shared" si="0"/>
        <v>60010090</v>
      </c>
    </row>
    <row r="50" spans="2:14" ht="10.5" x14ac:dyDescent="0.15">
      <c r="B50" s="62" t="s">
        <v>180</v>
      </c>
      <c r="C50" s="16" t="s">
        <v>159</v>
      </c>
      <c r="D50" s="18"/>
      <c r="E50" s="18"/>
      <c r="F50" s="18">
        <f>2880000+1440000</f>
        <v>4320000</v>
      </c>
      <c r="G50" s="80"/>
      <c r="H50" s="18"/>
      <c r="I50" s="80"/>
      <c r="J50" s="80">
        <v>32441374</v>
      </c>
      <c r="K50" s="80"/>
      <c r="L50" s="18"/>
      <c r="M50" s="18"/>
      <c r="N50" s="19">
        <f t="shared" si="0"/>
        <v>36761374</v>
      </c>
    </row>
    <row r="51" spans="2:14" ht="11.25" thickBot="1" x14ac:dyDescent="0.2">
      <c r="B51" s="69"/>
      <c r="C51" s="27" t="s">
        <v>168</v>
      </c>
      <c r="D51" s="21"/>
      <c r="E51" s="21"/>
      <c r="F51" s="21">
        <f>2880000+1440000</f>
        <v>4320000</v>
      </c>
      <c r="G51" s="81"/>
      <c r="H51" s="21"/>
      <c r="I51" s="81"/>
      <c r="J51" s="81">
        <v>32441374</v>
      </c>
      <c r="K51" s="81"/>
      <c r="L51" s="21"/>
      <c r="M51" s="21"/>
      <c r="N51" s="70">
        <f t="shared" si="0"/>
        <v>36761374</v>
      </c>
    </row>
    <row r="52" spans="2:14" ht="10.5" x14ac:dyDescent="0.15">
      <c r="B52" s="62" t="s">
        <v>181</v>
      </c>
      <c r="C52" s="16" t="s">
        <v>159</v>
      </c>
      <c r="D52" s="18"/>
      <c r="E52" s="18"/>
      <c r="F52" s="18"/>
      <c r="G52" s="80"/>
      <c r="H52" s="18"/>
      <c r="I52" s="80"/>
      <c r="J52" s="80"/>
      <c r="K52" s="80"/>
      <c r="L52" s="18"/>
      <c r="M52" s="18"/>
      <c r="N52" s="19">
        <f t="shared" si="0"/>
        <v>0</v>
      </c>
    </row>
    <row r="53" spans="2:14" ht="11.25" thickBot="1" x14ac:dyDescent="0.2">
      <c r="B53" s="69"/>
      <c r="C53" s="27" t="s">
        <v>168</v>
      </c>
      <c r="D53" s="21"/>
      <c r="E53" s="21"/>
      <c r="F53" s="21"/>
      <c r="G53" s="81"/>
      <c r="H53" s="21"/>
      <c r="I53" s="81"/>
      <c r="J53" s="81"/>
      <c r="K53" s="81"/>
      <c r="L53" s="21"/>
      <c r="M53" s="21"/>
      <c r="N53" s="70">
        <f t="shared" si="0"/>
        <v>0</v>
      </c>
    </row>
    <row r="54" spans="2:14" ht="12" customHeight="1" x14ac:dyDescent="0.15">
      <c r="B54" s="62" t="s">
        <v>182</v>
      </c>
      <c r="C54" s="16" t="s">
        <v>159</v>
      </c>
      <c r="D54" s="18"/>
      <c r="E54" s="18"/>
      <c r="F54" s="18"/>
      <c r="G54" s="80"/>
      <c r="H54" s="18"/>
      <c r="I54" s="80"/>
      <c r="J54" s="80"/>
      <c r="K54" s="80"/>
      <c r="L54" s="18"/>
      <c r="M54" s="18"/>
      <c r="N54" s="19">
        <f t="shared" si="0"/>
        <v>0</v>
      </c>
    </row>
    <row r="55" spans="2:14" ht="12" customHeight="1" thickBot="1" x14ac:dyDescent="0.2">
      <c r="B55" s="69"/>
      <c r="C55" s="27" t="s">
        <v>168</v>
      </c>
      <c r="D55" s="21"/>
      <c r="E55" s="21"/>
      <c r="F55" s="21"/>
      <c r="G55" s="81"/>
      <c r="H55" s="21"/>
      <c r="I55" s="81"/>
      <c r="J55" s="81"/>
      <c r="K55" s="81"/>
      <c r="L55" s="21"/>
      <c r="M55" s="21"/>
      <c r="N55" s="70">
        <f t="shared" si="0"/>
        <v>0</v>
      </c>
    </row>
    <row r="56" spans="2:14" ht="12" customHeight="1" x14ac:dyDescent="0.15">
      <c r="B56" s="62" t="s">
        <v>186</v>
      </c>
      <c r="C56" s="16" t="s">
        <v>159</v>
      </c>
      <c r="D56" s="18"/>
      <c r="E56" s="18"/>
      <c r="F56" s="18"/>
      <c r="G56" s="80"/>
      <c r="H56" s="18"/>
      <c r="I56" s="80">
        <v>0</v>
      </c>
      <c r="J56" s="80"/>
      <c r="K56" s="80"/>
      <c r="L56" s="18"/>
      <c r="M56" s="18"/>
      <c r="N56" s="19">
        <f t="shared" si="0"/>
        <v>0</v>
      </c>
    </row>
    <row r="57" spans="2:14" ht="12" customHeight="1" thickBot="1" x14ac:dyDescent="0.2">
      <c r="B57" s="69"/>
      <c r="C57" s="27" t="s">
        <v>168</v>
      </c>
      <c r="D57" s="21"/>
      <c r="E57" s="21"/>
      <c r="F57" s="21"/>
      <c r="G57" s="81"/>
      <c r="H57" s="21"/>
      <c r="I57" s="81">
        <v>5000000</v>
      </c>
      <c r="J57" s="81"/>
      <c r="K57" s="81"/>
      <c r="L57" s="21"/>
      <c r="M57" s="21"/>
      <c r="N57" s="70">
        <f>SUM(D57:M57)</f>
        <v>5000000</v>
      </c>
    </row>
    <row r="58" spans="2:14" ht="10.5" x14ac:dyDescent="0.15">
      <c r="B58" s="173" t="s">
        <v>68</v>
      </c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</row>
    <row r="59" spans="2:14" ht="10.5" x14ac:dyDescent="0.15">
      <c r="B59" s="57" t="s">
        <v>183</v>
      </c>
      <c r="C59" s="2" t="s">
        <v>159</v>
      </c>
      <c r="D59" s="82"/>
      <c r="E59" s="82"/>
      <c r="F59" s="20"/>
      <c r="G59" s="82"/>
      <c r="H59" s="82"/>
      <c r="I59" s="82"/>
      <c r="J59" s="82"/>
      <c r="K59" s="82"/>
      <c r="L59" s="82">
        <v>81755778</v>
      </c>
      <c r="M59" s="82"/>
      <c r="N59" s="20">
        <f>SUM(D59:M59)</f>
        <v>81755778</v>
      </c>
    </row>
    <row r="60" spans="2:14" ht="10.5" x14ac:dyDescent="0.15">
      <c r="B60" s="57"/>
      <c r="C60" s="2" t="s">
        <v>168</v>
      </c>
      <c r="D60" s="82"/>
      <c r="E60" s="82"/>
      <c r="F60" s="20"/>
      <c r="G60" s="82"/>
      <c r="H60" s="82"/>
      <c r="I60" s="82"/>
      <c r="J60" s="82"/>
      <c r="K60" s="82"/>
      <c r="L60" s="82">
        <v>85125858</v>
      </c>
      <c r="M60" s="82"/>
      <c r="N60" s="20">
        <f>SUM(D60:M60)</f>
        <v>85125858</v>
      </c>
    </row>
    <row r="61" spans="2:14" ht="10.5" x14ac:dyDescent="0.15">
      <c r="B61" s="57" t="s">
        <v>184</v>
      </c>
      <c r="C61" s="2" t="s">
        <v>159</v>
      </c>
      <c r="D61" s="82"/>
      <c r="E61" s="82"/>
      <c r="F61" s="20"/>
      <c r="G61" s="82"/>
      <c r="H61" s="82"/>
      <c r="I61" s="82"/>
      <c r="J61" s="82"/>
      <c r="K61" s="82"/>
      <c r="L61" s="82">
        <v>153188977</v>
      </c>
      <c r="M61" s="82"/>
      <c r="N61" s="20">
        <f>SUM(D61:M61)</f>
        <v>153188977</v>
      </c>
    </row>
    <row r="62" spans="2:14" ht="10.5" x14ac:dyDescent="0.15">
      <c r="B62" s="57"/>
      <c r="C62" s="2" t="s">
        <v>168</v>
      </c>
      <c r="D62" s="82"/>
      <c r="E62" s="82"/>
      <c r="F62" s="20"/>
      <c r="G62" s="82"/>
      <c r="H62" s="82"/>
      <c r="I62" s="82"/>
      <c r="J62" s="82"/>
      <c r="K62" s="82"/>
      <c r="L62" s="89">
        <v>170424868</v>
      </c>
      <c r="M62" s="82"/>
      <c r="N62" s="84">
        <f>SUM(D62:M62)</f>
        <v>170424868</v>
      </c>
    </row>
    <row r="63" spans="2:14" ht="10.5" x14ac:dyDescent="0.15">
      <c r="B63" s="57" t="s">
        <v>185</v>
      </c>
      <c r="C63" s="2" t="s">
        <v>159</v>
      </c>
      <c r="D63" s="82"/>
      <c r="E63" s="82"/>
      <c r="F63" s="20"/>
      <c r="G63" s="82"/>
      <c r="H63" s="82"/>
      <c r="I63" s="82"/>
      <c r="J63" s="82"/>
      <c r="K63" s="82"/>
      <c r="L63" s="82">
        <v>84933591</v>
      </c>
      <c r="M63" s="82"/>
      <c r="N63" s="20">
        <f t="shared" ref="N63" si="1">SUM(D63:M63)</f>
        <v>84933591</v>
      </c>
    </row>
    <row r="64" spans="2:14" ht="10.5" x14ac:dyDescent="0.15">
      <c r="B64" s="57"/>
      <c r="C64" s="2" t="s">
        <v>168</v>
      </c>
      <c r="D64" s="82"/>
      <c r="E64" s="82"/>
      <c r="F64" s="20"/>
      <c r="G64" s="82"/>
      <c r="H64" s="82"/>
      <c r="I64" s="82"/>
      <c r="J64" s="82"/>
      <c r="K64" s="82"/>
      <c r="L64" s="82">
        <v>86754021</v>
      </c>
      <c r="M64" s="82"/>
      <c r="N64" s="20">
        <f>SUM(D64:M64)</f>
        <v>86754021</v>
      </c>
    </row>
    <row r="65" spans="2:14" ht="10.5" x14ac:dyDescent="0.15">
      <c r="B65" s="173" t="s">
        <v>69</v>
      </c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</row>
    <row r="66" spans="2:14" ht="10.5" x14ac:dyDescent="0.15">
      <c r="B66" s="57" t="s">
        <v>70</v>
      </c>
      <c r="C66" s="2" t="s">
        <v>159</v>
      </c>
      <c r="D66" s="82"/>
      <c r="E66" s="82"/>
      <c r="F66" s="20"/>
      <c r="G66" s="82"/>
      <c r="H66" s="20">
        <v>7000000</v>
      </c>
      <c r="I66" s="82"/>
      <c r="J66" s="82"/>
      <c r="K66" s="82"/>
      <c r="L66" s="82"/>
      <c r="M66" s="82"/>
      <c r="N66" s="20">
        <f>SUM(D66:M66)</f>
        <v>7000000</v>
      </c>
    </row>
    <row r="67" spans="2:14" ht="10.5" x14ac:dyDescent="0.15">
      <c r="B67" s="57"/>
      <c r="C67" s="2" t="s">
        <v>168</v>
      </c>
      <c r="D67" s="82"/>
      <c r="E67" s="82"/>
      <c r="F67" s="20"/>
      <c r="G67" s="82"/>
      <c r="H67" s="20">
        <v>7000000</v>
      </c>
      <c r="I67" s="82"/>
      <c r="J67" s="82"/>
      <c r="K67" s="82"/>
      <c r="L67" s="82"/>
      <c r="M67" s="82"/>
      <c r="N67" s="20">
        <f t="shared" ref="N67:N73" si="2">SUM(D67:M67)</f>
        <v>7000000</v>
      </c>
    </row>
    <row r="68" spans="2:14" ht="10.5" x14ac:dyDescent="0.15">
      <c r="B68" s="57" t="s">
        <v>71</v>
      </c>
      <c r="C68" s="2" t="s">
        <v>159</v>
      </c>
      <c r="D68" s="82"/>
      <c r="E68" s="82"/>
      <c r="F68" s="20">
        <v>2489200</v>
      </c>
      <c r="G68" s="82"/>
      <c r="H68" s="82"/>
      <c r="I68" s="82"/>
      <c r="J68" s="82"/>
      <c r="K68" s="82"/>
      <c r="L68" s="82"/>
      <c r="M68" s="82"/>
      <c r="N68" s="20">
        <f t="shared" si="2"/>
        <v>2489200</v>
      </c>
    </row>
    <row r="69" spans="2:14" ht="10.5" x14ac:dyDescent="0.15">
      <c r="B69" s="57"/>
      <c r="C69" s="2" t="s">
        <v>168</v>
      </c>
      <c r="D69" s="82"/>
      <c r="E69" s="82"/>
      <c r="F69" s="20">
        <v>2489200</v>
      </c>
      <c r="G69" s="82"/>
      <c r="H69" s="82"/>
      <c r="I69" s="82"/>
      <c r="J69" s="82"/>
      <c r="K69" s="82"/>
      <c r="L69" s="82"/>
      <c r="M69" s="82"/>
      <c r="N69" s="20">
        <f t="shared" si="2"/>
        <v>2489200</v>
      </c>
    </row>
    <row r="70" spans="2:14" ht="21" x14ac:dyDescent="0.15">
      <c r="B70" s="57" t="s">
        <v>162</v>
      </c>
      <c r="C70" s="2" t="s">
        <v>159</v>
      </c>
      <c r="D70" s="82"/>
      <c r="E70" s="82"/>
      <c r="F70" s="20">
        <v>10600000</v>
      </c>
      <c r="G70" s="82"/>
      <c r="H70" s="82"/>
      <c r="I70" s="82"/>
      <c r="J70" s="82"/>
      <c r="K70" s="82"/>
      <c r="L70" s="82">
        <v>18947368</v>
      </c>
      <c r="M70" s="82"/>
      <c r="N70" s="20">
        <f t="shared" si="2"/>
        <v>29547368</v>
      </c>
    </row>
    <row r="71" spans="2:14" ht="10.5" x14ac:dyDescent="0.15">
      <c r="B71" s="57"/>
      <c r="C71" s="2" t="s">
        <v>168</v>
      </c>
      <c r="D71" s="82"/>
      <c r="E71" s="82"/>
      <c r="F71" s="20">
        <v>10600000</v>
      </c>
      <c r="G71" s="82"/>
      <c r="H71" s="82"/>
      <c r="I71" s="82"/>
      <c r="J71" s="82"/>
      <c r="K71" s="82"/>
      <c r="L71" s="82">
        <v>18947368</v>
      </c>
      <c r="M71" s="82"/>
      <c r="N71" s="20">
        <f t="shared" si="2"/>
        <v>29547368</v>
      </c>
    </row>
    <row r="72" spans="2:14" ht="10.5" x14ac:dyDescent="0.15">
      <c r="B72" s="57" t="s">
        <v>163</v>
      </c>
      <c r="C72" s="2" t="s">
        <v>159</v>
      </c>
      <c r="D72" s="82"/>
      <c r="E72" s="82"/>
      <c r="F72" s="20"/>
      <c r="G72" s="82"/>
      <c r="H72" s="20">
        <v>7000000</v>
      </c>
      <c r="I72" s="82"/>
      <c r="J72" s="82"/>
      <c r="K72" s="82"/>
      <c r="L72" s="82"/>
      <c r="M72" s="82"/>
      <c r="N72" s="20">
        <f t="shared" si="2"/>
        <v>7000000</v>
      </c>
    </row>
    <row r="73" spans="2:14" ht="11.25" thickBot="1" x14ac:dyDescent="0.2">
      <c r="B73" s="58"/>
      <c r="C73" s="9" t="s">
        <v>168</v>
      </c>
      <c r="D73" s="83"/>
      <c r="E73" s="83"/>
      <c r="F73" s="72"/>
      <c r="G73" s="83"/>
      <c r="H73" s="72">
        <v>7000000</v>
      </c>
      <c r="I73" s="83"/>
      <c r="J73" s="83"/>
      <c r="K73" s="83"/>
      <c r="L73" s="83"/>
      <c r="M73" s="83"/>
      <c r="N73" s="72">
        <f t="shared" si="2"/>
        <v>7000000</v>
      </c>
    </row>
    <row r="74" spans="2:14" ht="19.5" customHeight="1" x14ac:dyDescent="0.15">
      <c r="B74" s="168" t="s">
        <v>29</v>
      </c>
      <c r="C74" s="76" t="s">
        <v>159</v>
      </c>
      <c r="D74" s="73">
        <f>D6+D8+D10+D12+D14+D16+D18+D20+D22+D24+D26+D28+D30+D32+D34+D36+D38+D40+D42+D44+D46+D48+D50+D52+D54+D59+D61+D63+D66+D68+D70+D72+D56</f>
        <v>66267628</v>
      </c>
      <c r="E74" s="73">
        <f t="shared" ref="E74:M74" si="3">E6+E8+E10+E12+E14+E16+E18+E20+E22+E24+E26+E28+E30+E32+E34+E36+E38+E40+E42+E44+E46+E48+E50+E52+E54+E59+E61+E63+E66+E68+E70+E72+E56</f>
        <v>8739672</v>
      </c>
      <c r="F74" s="73">
        <f>F6+F8+F10+F12+F14+F16+F18+F20+F22+F24+F26+F28+F30+F32+F34+F36+F38+F40+F42+F44+F46+F48+F50+F52+F54+F59+F61+F63+F66+F68+F70+F72+F56-1</f>
        <v>141570421</v>
      </c>
      <c r="G74" s="73">
        <f t="shared" si="3"/>
        <v>5100000</v>
      </c>
      <c r="H74" s="73">
        <f t="shared" si="3"/>
        <v>16528986</v>
      </c>
      <c r="I74" s="73">
        <f t="shared" si="3"/>
        <v>52300000</v>
      </c>
      <c r="J74" s="73">
        <f t="shared" si="3"/>
        <v>336406944</v>
      </c>
      <c r="K74" s="73">
        <f t="shared" si="3"/>
        <v>3400000</v>
      </c>
      <c r="L74" s="73">
        <f t="shared" si="3"/>
        <v>348766029</v>
      </c>
      <c r="M74" s="73">
        <f t="shared" si="3"/>
        <v>1528277</v>
      </c>
      <c r="N74" s="74">
        <f>SUM(D74:M74)</f>
        <v>980607957</v>
      </c>
    </row>
    <row r="75" spans="2:14" ht="18.75" customHeight="1" thickBot="1" x14ac:dyDescent="0.2">
      <c r="B75" s="169"/>
      <c r="C75" s="77" t="s">
        <v>168</v>
      </c>
      <c r="D75" s="86">
        <f>D7+D9+D11+D13+D15+D17+D19+D21+D23+D25+D27+D29+D31+D33+D35+D37+D39+D41+D43+D45+D47+D49+D51+D53+D55+D60+D62+D64+D67+D69+D71+D73+D57-1</f>
        <v>70101855</v>
      </c>
      <c r="E75" s="75">
        <f>E7+E9+E11+E13+E15+E17+E19+E21+E23+E25+E27+E29+E31+E33+E35+E37+E39+E41+E43+E45+E47+E49+E51+E53+E55+E60+E62+E64+E67+E69+E71+E73+E57-1</f>
        <v>9652701</v>
      </c>
      <c r="F75" s="86">
        <f>F7+F9+F11+F13+F15+F17+F19+F21+F23+F25+F27+F29+F31+F33+F35+F37+F39+F41+F43+F45+F47+F49+F51+F53+F55+F60+F62+F64+F67+F69+F71+F73+F57-1</f>
        <v>145387334</v>
      </c>
      <c r="G75" s="75">
        <f t="shared" ref="G75:M75" si="4">G7+G9+G11+G13+G15+G17+G19+G21+G23+G25+G27+G29+G31+G33+G35+G37+G39+G41+G43+G45+G47+G49+G51+G53+G55+G60+G62+G64+G67+G69+G71+G73+G57</f>
        <v>5100000</v>
      </c>
      <c r="H75" s="86">
        <f t="shared" si="4"/>
        <v>24396210</v>
      </c>
      <c r="I75" s="86">
        <f>I7+I9+I11+I13+I15+I17+I19+I21+I23+I25+I27+I29+I31+I33+I35+I37+I39+I41+I43+I45+I47+I49+I51+I53+I55+I60+I62+I64+I67+I69+I71+I73+I57</f>
        <v>79375593</v>
      </c>
      <c r="J75" s="86">
        <f>J7+J9+J11+J13+J15+J17+J19+J21+J23+J25+J27+J29+J31+J33+J35+J37+J39+J41+J43+J45+J47+J49+J51+J53+J55+J60+J62+J64+J67+J69+J71+J73+J57</f>
        <v>278867880</v>
      </c>
      <c r="K75" s="75">
        <f t="shared" si="4"/>
        <v>3400000</v>
      </c>
      <c r="L75" s="86">
        <f t="shared" si="4"/>
        <v>411635995</v>
      </c>
      <c r="M75" s="86">
        <f t="shared" si="4"/>
        <v>2109277</v>
      </c>
      <c r="N75" s="90">
        <f>SUM(D75:M75)</f>
        <v>1030026845</v>
      </c>
    </row>
  </sheetData>
  <mergeCells count="9">
    <mergeCell ref="B74:B75"/>
    <mergeCell ref="B5:N5"/>
    <mergeCell ref="B65:N65"/>
    <mergeCell ref="B58:N58"/>
    <mergeCell ref="D3:H3"/>
    <mergeCell ref="I3:K3"/>
    <mergeCell ref="B3:B4"/>
    <mergeCell ref="C3:C4"/>
    <mergeCell ref="N3:N4"/>
  </mergeCells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N41"/>
  <sheetViews>
    <sheetView tabSelected="1" topLeftCell="A16" zoomScaleNormal="100" workbookViewId="0">
      <selection activeCell="B36" sqref="B36"/>
    </sheetView>
  </sheetViews>
  <sheetFormatPr defaultRowHeight="15" x14ac:dyDescent="0.25"/>
  <cols>
    <col min="1" max="1" width="9.140625" style="93"/>
    <col min="2" max="2" width="32.7109375" style="130" customWidth="1"/>
    <col min="3" max="3" width="11.28515625" style="93" customWidth="1"/>
    <col min="4" max="4" width="11.7109375" style="93" customWidth="1"/>
    <col min="5" max="5" width="11.42578125" style="93" bestFit="1" customWidth="1"/>
    <col min="6" max="6" width="10.28515625" style="93" bestFit="1" customWidth="1"/>
    <col min="7" max="7" width="11.5703125" style="93" bestFit="1" customWidth="1"/>
    <col min="8" max="8" width="10.140625" style="93" bestFit="1" customWidth="1"/>
    <col min="9" max="9" width="8" style="93" bestFit="1" customWidth="1"/>
    <col min="10" max="10" width="9.42578125" style="93" bestFit="1" customWidth="1"/>
    <col min="11" max="11" width="11.5703125" style="93" bestFit="1" customWidth="1"/>
    <col min="12" max="12" width="9.42578125" style="93" bestFit="1" customWidth="1"/>
    <col min="13" max="13" width="8.7109375" style="93" bestFit="1" customWidth="1"/>
    <col min="14" max="14" width="9.42578125" style="93" bestFit="1" customWidth="1"/>
    <col min="15" max="16384" width="9.140625" style="93"/>
  </cols>
  <sheetData>
    <row r="2" spans="1:14" x14ac:dyDescent="0.25">
      <c r="A2" s="107"/>
      <c r="B2" s="130" t="s">
        <v>164</v>
      </c>
    </row>
    <row r="4" spans="1:14" x14ac:dyDescent="0.25">
      <c r="B4" s="174" t="s">
        <v>38</v>
      </c>
      <c r="C4" s="174" t="s">
        <v>16</v>
      </c>
      <c r="D4" s="174" t="s">
        <v>43</v>
      </c>
      <c r="E4" s="174"/>
      <c r="F4" s="174"/>
      <c r="G4" s="174"/>
      <c r="H4" s="174"/>
      <c r="I4" s="174" t="s">
        <v>44</v>
      </c>
      <c r="J4" s="174"/>
      <c r="K4" s="174"/>
      <c r="L4" s="3"/>
      <c r="M4" s="3" t="s">
        <v>45</v>
      </c>
      <c r="N4" s="174" t="s">
        <v>29</v>
      </c>
    </row>
    <row r="5" spans="1:14" ht="31.5" x14ac:dyDescent="0.25">
      <c r="B5" s="174"/>
      <c r="C5" s="174"/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 t="s">
        <v>51</v>
      </c>
      <c r="J5" s="3" t="s">
        <v>52</v>
      </c>
      <c r="K5" s="3" t="s">
        <v>53</v>
      </c>
      <c r="L5" s="3" t="s">
        <v>54</v>
      </c>
      <c r="M5" s="3" t="s">
        <v>55</v>
      </c>
      <c r="N5" s="174"/>
    </row>
    <row r="6" spans="1:14" ht="15.75" thickBot="1" x14ac:dyDescent="0.3">
      <c r="B6" s="170" t="s">
        <v>56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2"/>
    </row>
    <row r="7" spans="1:14" ht="15.75" thickBot="1" x14ac:dyDescent="0.3">
      <c r="B7" s="62" t="s">
        <v>57</v>
      </c>
      <c r="C7" s="16" t="s">
        <v>210</v>
      </c>
      <c r="D7" s="18">
        <f>34056152+1200000</f>
        <v>35256152</v>
      </c>
      <c r="E7" s="18">
        <v>4727300</v>
      </c>
      <c r="F7" s="18">
        <v>41378133</v>
      </c>
      <c r="G7" s="18"/>
      <c r="H7" s="18">
        <v>278310</v>
      </c>
      <c r="I7" s="18"/>
      <c r="J7" s="18"/>
      <c r="K7" s="18"/>
      <c r="L7" s="18"/>
      <c r="M7" s="18">
        <v>1623099</v>
      </c>
      <c r="N7" s="19">
        <f>SUM(D7:M7)</f>
        <v>83262994</v>
      </c>
    </row>
    <row r="8" spans="1:14" ht="15.75" thickBot="1" x14ac:dyDescent="0.3">
      <c r="B8" s="62" t="s">
        <v>58</v>
      </c>
      <c r="C8" s="16" t="s">
        <v>210</v>
      </c>
      <c r="D8" s="18"/>
      <c r="E8" s="18"/>
      <c r="F8" s="18">
        <v>6046054</v>
      </c>
      <c r="G8" s="18"/>
      <c r="H8" s="18"/>
      <c r="I8" s="18"/>
      <c r="J8" s="18"/>
      <c r="K8" s="18"/>
      <c r="L8" s="18"/>
      <c r="M8" s="18"/>
      <c r="N8" s="19">
        <f t="shared" ref="N8:N32" si="0">SUM(D8:M8)</f>
        <v>6046054</v>
      </c>
    </row>
    <row r="9" spans="1:14" ht="15.75" thickBot="1" x14ac:dyDescent="0.3">
      <c r="B9" s="62" t="s">
        <v>59</v>
      </c>
      <c r="C9" s="16" t="s">
        <v>210</v>
      </c>
      <c r="D9" s="18">
        <v>3081200</v>
      </c>
      <c r="E9" s="18">
        <v>200278</v>
      </c>
      <c r="F9" s="18"/>
      <c r="G9" s="18"/>
      <c r="H9" s="18"/>
      <c r="I9" s="18"/>
      <c r="J9" s="18"/>
      <c r="K9" s="18"/>
      <c r="L9" s="18"/>
      <c r="M9" s="18"/>
      <c r="N9" s="19">
        <f t="shared" si="0"/>
        <v>3281478</v>
      </c>
    </row>
    <row r="10" spans="1:14" ht="15.75" thickBot="1" x14ac:dyDescent="0.3">
      <c r="B10" s="62" t="s">
        <v>60</v>
      </c>
      <c r="C10" s="16" t="s">
        <v>210</v>
      </c>
      <c r="D10" s="18"/>
      <c r="E10" s="18"/>
      <c r="F10" s="18">
        <v>4170000</v>
      </c>
      <c r="G10" s="18"/>
      <c r="H10" s="18"/>
      <c r="I10" s="18"/>
      <c r="J10" s="18">
        <v>162903841</v>
      </c>
      <c r="K10" s="18">
        <v>24000000</v>
      </c>
      <c r="L10" s="18"/>
      <c r="M10" s="18"/>
      <c r="N10" s="19">
        <f t="shared" si="0"/>
        <v>191073841</v>
      </c>
    </row>
    <row r="11" spans="1:14" ht="15.75" thickBot="1" x14ac:dyDescent="0.3">
      <c r="B11" s="62" t="s">
        <v>61</v>
      </c>
      <c r="C11" s="16" t="s">
        <v>210</v>
      </c>
      <c r="D11" s="18"/>
      <c r="E11" s="18"/>
      <c r="F11" s="18">
        <v>4010000</v>
      </c>
      <c r="G11" s="18"/>
      <c r="H11" s="18"/>
      <c r="I11" s="18"/>
      <c r="J11" s="18"/>
      <c r="K11" s="18"/>
      <c r="L11" s="18"/>
      <c r="M11" s="18"/>
      <c r="N11" s="19">
        <f t="shared" si="0"/>
        <v>4010000</v>
      </c>
    </row>
    <row r="12" spans="1:14" ht="15.75" thickBot="1" x14ac:dyDescent="0.3">
      <c r="B12" s="62" t="s">
        <v>62</v>
      </c>
      <c r="C12" s="16" t="s">
        <v>210</v>
      </c>
      <c r="D12" s="18"/>
      <c r="E12" s="18"/>
      <c r="F12" s="18">
        <v>11168000</v>
      </c>
      <c r="G12" s="18"/>
      <c r="H12" s="18"/>
      <c r="I12" s="18"/>
      <c r="J12" s="18"/>
      <c r="K12" s="18"/>
      <c r="L12" s="18"/>
      <c r="M12" s="18"/>
      <c r="N12" s="19">
        <f t="shared" si="0"/>
        <v>11168000</v>
      </c>
    </row>
    <row r="13" spans="1:14" ht="15.75" thickBot="1" x14ac:dyDescent="0.3">
      <c r="B13" s="62" t="s">
        <v>63</v>
      </c>
      <c r="C13" s="16" t="s">
        <v>210</v>
      </c>
      <c r="D13" s="18">
        <v>9462000</v>
      </c>
      <c r="E13" s="18">
        <v>1230060</v>
      </c>
      <c r="F13" s="18">
        <v>9292450</v>
      </c>
      <c r="G13" s="18"/>
      <c r="H13" s="18"/>
      <c r="I13" s="18">
        <v>2500000</v>
      </c>
      <c r="J13" s="18"/>
      <c r="K13" s="18"/>
      <c r="L13" s="18"/>
      <c r="M13" s="18"/>
      <c r="N13" s="19">
        <f t="shared" si="0"/>
        <v>22484510</v>
      </c>
    </row>
    <row r="14" spans="1:14" ht="15.75" thickBot="1" x14ac:dyDescent="0.3">
      <c r="B14" s="62" t="s">
        <v>64</v>
      </c>
      <c r="C14" s="16" t="s">
        <v>210</v>
      </c>
      <c r="D14" s="18"/>
      <c r="E14" s="18"/>
      <c r="F14" s="18">
        <v>5056200</v>
      </c>
      <c r="G14" s="18"/>
      <c r="H14" s="18"/>
      <c r="I14" s="18"/>
      <c r="J14" s="18"/>
      <c r="K14" s="18"/>
      <c r="L14" s="18"/>
      <c r="M14" s="18"/>
      <c r="N14" s="19">
        <f t="shared" si="0"/>
        <v>5056200</v>
      </c>
    </row>
    <row r="15" spans="1:14" ht="21.75" thickBot="1" x14ac:dyDescent="0.3">
      <c r="B15" s="62" t="s">
        <v>65</v>
      </c>
      <c r="C15" s="16" t="s">
        <v>210</v>
      </c>
      <c r="D15" s="18">
        <v>5330000</v>
      </c>
      <c r="E15" s="18">
        <v>848900</v>
      </c>
      <c r="F15" s="18"/>
      <c r="G15" s="18"/>
      <c r="H15" s="18"/>
      <c r="I15" s="18"/>
      <c r="J15" s="18"/>
      <c r="K15" s="18"/>
      <c r="L15" s="18"/>
      <c r="M15" s="18"/>
      <c r="N15" s="19">
        <f t="shared" si="0"/>
        <v>6178900</v>
      </c>
    </row>
    <row r="16" spans="1:14" ht="15.75" thickBot="1" x14ac:dyDescent="0.3">
      <c r="B16" s="62" t="s">
        <v>238</v>
      </c>
      <c r="C16" s="16" t="s">
        <v>210</v>
      </c>
      <c r="D16" s="18"/>
      <c r="E16" s="18"/>
      <c r="F16" s="18">
        <v>24625443</v>
      </c>
      <c r="G16" s="18"/>
      <c r="H16" s="18"/>
      <c r="I16" s="18"/>
      <c r="J16" s="18"/>
      <c r="K16" s="18"/>
      <c r="L16" s="18"/>
      <c r="M16" s="18"/>
      <c r="N16" s="19">
        <f t="shared" si="0"/>
        <v>24625443</v>
      </c>
    </row>
    <row r="17" spans="2:14" ht="15.75" thickBot="1" x14ac:dyDescent="0.3">
      <c r="B17" s="62" t="s">
        <v>67</v>
      </c>
      <c r="C17" s="16" t="s">
        <v>210</v>
      </c>
      <c r="D17" s="18"/>
      <c r="E17" s="18"/>
      <c r="F17" s="18">
        <v>192332</v>
      </c>
      <c r="G17" s="18"/>
      <c r="H17" s="18"/>
      <c r="I17" s="18"/>
      <c r="J17" s="18"/>
      <c r="K17" s="18"/>
      <c r="L17" s="18"/>
      <c r="M17" s="18"/>
      <c r="N17" s="19">
        <f t="shared" si="0"/>
        <v>192332</v>
      </c>
    </row>
    <row r="18" spans="2:14" ht="15.75" thickBot="1" x14ac:dyDescent="0.3">
      <c r="B18" s="62" t="s">
        <v>169</v>
      </c>
      <c r="C18" s="16" t="s">
        <v>210</v>
      </c>
      <c r="D18" s="18"/>
      <c r="E18" s="18"/>
      <c r="F18" s="18">
        <v>8197170</v>
      </c>
      <c r="G18" s="18"/>
      <c r="H18" s="18"/>
      <c r="I18" s="18"/>
      <c r="J18" s="18"/>
      <c r="K18" s="18"/>
      <c r="L18" s="18"/>
      <c r="M18" s="18"/>
      <c r="N18" s="19">
        <f t="shared" si="0"/>
        <v>8197170</v>
      </c>
    </row>
    <row r="19" spans="2:14" ht="15.75" thickBot="1" x14ac:dyDescent="0.3">
      <c r="B19" s="62" t="s">
        <v>170</v>
      </c>
      <c r="C19" s="16" t="s">
        <v>210</v>
      </c>
      <c r="D19" s="18">
        <v>324000</v>
      </c>
      <c r="E19" s="18"/>
      <c r="F19" s="18">
        <f>4231570</f>
        <v>4231570</v>
      </c>
      <c r="G19" s="18"/>
      <c r="H19" s="18"/>
      <c r="I19" s="18"/>
      <c r="J19" s="18"/>
      <c r="K19" s="18"/>
      <c r="L19" s="18"/>
      <c r="M19" s="18"/>
      <c r="N19" s="19">
        <f t="shared" si="0"/>
        <v>4555570</v>
      </c>
    </row>
    <row r="20" spans="2:14" ht="15.75" thickBot="1" x14ac:dyDescent="0.3">
      <c r="B20" s="62" t="s">
        <v>171</v>
      </c>
      <c r="C20" s="16" t="s">
        <v>210</v>
      </c>
      <c r="D20" s="18"/>
      <c r="E20" s="18"/>
      <c r="F20" s="18"/>
      <c r="G20" s="18">
        <v>4850000</v>
      </c>
      <c r="H20" s="18"/>
      <c r="I20" s="18"/>
      <c r="J20" s="18"/>
      <c r="K20" s="18"/>
      <c r="L20" s="18"/>
      <c r="M20" s="18"/>
      <c r="N20" s="19">
        <f t="shared" si="0"/>
        <v>4850000</v>
      </c>
    </row>
    <row r="21" spans="2:14" ht="15.75" thickBot="1" x14ac:dyDescent="0.3">
      <c r="B21" s="62" t="s">
        <v>172</v>
      </c>
      <c r="C21" s="16" t="s">
        <v>210</v>
      </c>
      <c r="D21" s="18"/>
      <c r="E21" s="18"/>
      <c r="F21" s="18">
        <v>4564000</v>
      </c>
      <c r="G21" s="18"/>
      <c r="H21" s="18"/>
      <c r="I21" s="18"/>
      <c r="J21" s="18"/>
      <c r="K21" s="18"/>
      <c r="L21" s="18"/>
      <c r="M21" s="18"/>
      <c r="N21" s="19">
        <f t="shared" si="0"/>
        <v>4564000</v>
      </c>
    </row>
    <row r="22" spans="2:14" ht="15.75" thickBot="1" x14ac:dyDescent="0.3">
      <c r="B22" s="62" t="s">
        <v>173</v>
      </c>
      <c r="C22" s="16" t="s">
        <v>210</v>
      </c>
      <c r="D22" s="18"/>
      <c r="E22" s="18"/>
      <c r="F22" s="18">
        <v>188524</v>
      </c>
      <c r="G22" s="18"/>
      <c r="H22" s="18"/>
      <c r="I22" s="18"/>
      <c r="J22" s="18"/>
      <c r="K22" s="18"/>
      <c r="L22" s="18"/>
      <c r="M22" s="18"/>
      <c r="N22" s="19">
        <f t="shared" si="0"/>
        <v>188524</v>
      </c>
    </row>
    <row r="23" spans="2:14" ht="15.75" thickBot="1" x14ac:dyDescent="0.3">
      <c r="B23" s="62" t="s">
        <v>174</v>
      </c>
      <c r="C23" s="16" t="s">
        <v>210</v>
      </c>
      <c r="D23" s="18"/>
      <c r="E23" s="18"/>
      <c r="F23" s="18">
        <v>848800</v>
      </c>
      <c r="G23" s="18"/>
      <c r="H23" s="18"/>
      <c r="I23" s="18"/>
      <c r="J23" s="18"/>
      <c r="K23" s="18"/>
      <c r="L23" s="18"/>
      <c r="M23" s="18"/>
      <c r="N23" s="19">
        <f t="shared" si="0"/>
        <v>848800</v>
      </c>
    </row>
    <row r="24" spans="2:14" ht="15.75" thickBot="1" x14ac:dyDescent="0.3">
      <c r="B24" s="62" t="s">
        <v>175</v>
      </c>
      <c r="C24" s="16" t="s">
        <v>210</v>
      </c>
      <c r="D24" s="18"/>
      <c r="E24" s="18"/>
      <c r="F24" s="18"/>
      <c r="G24" s="18"/>
      <c r="H24" s="18"/>
      <c r="I24" s="18"/>
      <c r="J24" s="18"/>
      <c r="K24" s="18">
        <v>3400000</v>
      </c>
      <c r="L24" s="18"/>
      <c r="M24" s="18"/>
      <c r="N24" s="19">
        <f t="shared" si="0"/>
        <v>3400000</v>
      </c>
    </row>
    <row r="25" spans="2:14" ht="15.75" thickBot="1" x14ac:dyDescent="0.3">
      <c r="B25" s="62" t="s">
        <v>176</v>
      </c>
      <c r="C25" s="16" t="s">
        <v>210</v>
      </c>
      <c r="D25" s="18"/>
      <c r="E25" s="18"/>
      <c r="F25" s="18">
        <v>1827727</v>
      </c>
      <c r="G25" s="18"/>
      <c r="H25" s="18"/>
      <c r="I25" s="18">
        <v>1600000</v>
      </c>
      <c r="J25" s="18"/>
      <c r="K25" s="18"/>
      <c r="L25" s="18"/>
      <c r="M25" s="18"/>
      <c r="N25" s="19">
        <f t="shared" si="0"/>
        <v>3427727</v>
      </c>
    </row>
    <row r="26" spans="2:14" ht="15.75" thickBot="1" x14ac:dyDescent="0.3">
      <c r="B26" s="62" t="s">
        <v>177</v>
      </c>
      <c r="C26" s="16" t="s">
        <v>210</v>
      </c>
      <c r="D26" s="18"/>
      <c r="E26" s="18"/>
      <c r="F26" s="18">
        <v>666000</v>
      </c>
      <c r="G26" s="18"/>
      <c r="H26" s="18"/>
      <c r="I26" s="18"/>
      <c r="J26" s="18"/>
      <c r="K26" s="18"/>
      <c r="L26" s="18"/>
      <c r="M26" s="18"/>
      <c r="N26" s="19">
        <f t="shared" si="0"/>
        <v>666000</v>
      </c>
    </row>
    <row r="27" spans="2:14" ht="15.75" thickBot="1" x14ac:dyDescent="0.3">
      <c r="B27" s="62" t="s">
        <v>178</v>
      </c>
      <c r="C27" s="16" t="s">
        <v>210</v>
      </c>
      <c r="D27" s="18"/>
      <c r="E27" s="18"/>
      <c r="F27" s="18">
        <v>641550</v>
      </c>
      <c r="G27" s="18"/>
      <c r="H27" s="18"/>
      <c r="I27" s="18"/>
      <c r="J27" s="18"/>
      <c r="K27" s="18"/>
      <c r="L27" s="18"/>
      <c r="M27" s="18"/>
      <c r="N27" s="19">
        <f t="shared" si="0"/>
        <v>641550</v>
      </c>
    </row>
    <row r="28" spans="2:14" ht="15.75" thickBot="1" x14ac:dyDescent="0.3">
      <c r="B28" s="62" t="s">
        <v>239</v>
      </c>
      <c r="C28" s="16" t="s">
        <v>210</v>
      </c>
      <c r="D28" s="18"/>
      <c r="E28" s="18"/>
      <c r="F28" s="18">
        <v>174000</v>
      </c>
      <c r="G28" s="18"/>
      <c r="H28" s="18"/>
      <c r="I28" s="18"/>
      <c r="J28" s="18"/>
      <c r="K28" s="18"/>
      <c r="L28" s="18"/>
      <c r="M28" s="18"/>
      <c r="N28" s="19">
        <f t="shared" si="0"/>
        <v>174000</v>
      </c>
    </row>
    <row r="29" spans="2:14" ht="21.75" thickBot="1" x14ac:dyDescent="0.3">
      <c r="B29" s="62" t="s">
        <v>240</v>
      </c>
      <c r="C29" s="16" t="s">
        <v>210</v>
      </c>
      <c r="D29" s="18"/>
      <c r="E29" s="18"/>
      <c r="F29" s="18"/>
      <c r="G29" s="18">
        <v>2974089</v>
      </c>
      <c r="H29" s="18"/>
      <c r="I29" s="18"/>
      <c r="J29" s="18"/>
      <c r="K29" s="18"/>
      <c r="L29" s="18">
        <v>12249854</v>
      </c>
      <c r="M29" s="18"/>
      <c r="N29" s="19">
        <f t="shared" si="0"/>
        <v>15223943</v>
      </c>
    </row>
    <row r="30" spans="2:14" ht="15.75" thickBot="1" x14ac:dyDescent="0.3">
      <c r="B30" s="62" t="s">
        <v>241</v>
      </c>
      <c r="C30" s="16" t="s">
        <v>210</v>
      </c>
      <c r="D30" s="18"/>
      <c r="E30" s="18"/>
      <c r="F30" s="18">
        <v>4320000</v>
      </c>
      <c r="G30" s="18"/>
      <c r="H30" s="18"/>
      <c r="I30" s="18"/>
      <c r="J30" s="18"/>
      <c r="K30" s="18"/>
      <c r="L30" s="18"/>
      <c r="M30" s="18"/>
      <c r="N30" s="19">
        <f t="shared" si="0"/>
        <v>4320000</v>
      </c>
    </row>
    <row r="31" spans="2:14" ht="15.75" thickBot="1" x14ac:dyDescent="0.3">
      <c r="B31" s="62" t="s">
        <v>242</v>
      </c>
      <c r="C31" s="16" t="s">
        <v>210</v>
      </c>
      <c r="D31" s="18"/>
      <c r="E31" s="18"/>
      <c r="F31" s="18"/>
      <c r="G31" s="18"/>
      <c r="H31" s="18"/>
      <c r="I31" s="18">
        <v>3000000</v>
      </c>
      <c r="J31" s="18"/>
      <c r="K31" s="18"/>
      <c r="L31" s="18"/>
      <c r="M31" s="18"/>
      <c r="N31" s="19">
        <f t="shared" si="0"/>
        <v>3000000</v>
      </c>
    </row>
    <row r="32" spans="2:14" x14ac:dyDescent="0.25">
      <c r="B32" s="62" t="s">
        <v>267</v>
      </c>
      <c r="C32" s="16" t="s">
        <v>210</v>
      </c>
      <c r="D32" s="18"/>
      <c r="E32" s="18"/>
      <c r="F32" s="18"/>
      <c r="G32" s="18"/>
      <c r="H32" s="18">
        <v>10485120</v>
      </c>
      <c r="I32" s="18"/>
      <c r="J32" s="18"/>
      <c r="K32" s="18"/>
      <c r="L32" s="18"/>
      <c r="M32" s="18"/>
      <c r="N32" s="19">
        <f t="shared" si="0"/>
        <v>10485120</v>
      </c>
    </row>
    <row r="33" spans="2:14" x14ac:dyDescent="0.25">
      <c r="B33" s="173" t="s">
        <v>68</v>
      </c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</row>
    <row r="34" spans="2:14" x14ac:dyDescent="0.25">
      <c r="B34" s="57" t="s">
        <v>183</v>
      </c>
      <c r="C34" s="2" t="s">
        <v>210</v>
      </c>
      <c r="D34" s="20"/>
      <c r="E34" s="20"/>
      <c r="F34" s="20"/>
      <c r="G34" s="20"/>
      <c r="H34" s="20"/>
      <c r="I34" s="20"/>
      <c r="J34" s="20"/>
      <c r="K34" s="20"/>
      <c r="L34" s="20">
        <v>81906256</v>
      </c>
      <c r="M34" s="20"/>
      <c r="N34" s="20">
        <f>SUM(D34:M34)</f>
        <v>81906256</v>
      </c>
    </row>
    <row r="35" spans="2:14" x14ac:dyDescent="0.25">
      <c r="B35" s="57" t="s">
        <v>184</v>
      </c>
      <c r="C35" s="2" t="s">
        <v>210</v>
      </c>
      <c r="D35" s="20"/>
      <c r="E35" s="20"/>
      <c r="F35" s="20"/>
      <c r="G35" s="20"/>
      <c r="H35" s="20"/>
      <c r="I35" s="20"/>
      <c r="J35" s="20"/>
      <c r="K35" s="20"/>
      <c r="L35" s="20">
        <v>193859952</v>
      </c>
      <c r="M35" s="20"/>
      <c r="N35" s="20">
        <f t="shared" ref="N35:N36" si="1">SUM(D35:M35)</f>
        <v>193859952</v>
      </c>
    </row>
    <row r="36" spans="2:14" x14ac:dyDescent="0.25">
      <c r="B36" s="57" t="s">
        <v>185</v>
      </c>
      <c r="C36" s="2" t="s">
        <v>210</v>
      </c>
      <c r="D36" s="20"/>
      <c r="E36" s="20"/>
      <c r="F36" s="20"/>
      <c r="G36" s="20"/>
      <c r="H36" s="20"/>
      <c r="I36" s="20"/>
      <c r="J36" s="20"/>
      <c r="K36" s="20"/>
      <c r="L36" s="20">
        <v>90673449</v>
      </c>
      <c r="M36" s="20"/>
      <c r="N36" s="20">
        <f t="shared" si="1"/>
        <v>90673449</v>
      </c>
    </row>
    <row r="37" spans="2:14" x14ac:dyDescent="0.25">
      <c r="B37" s="173" t="s">
        <v>69</v>
      </c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</row>
    <row r="38" spans="2:14" x14ac:dyDescent="0.25">
      <c r="B38" s="57" t="s">
        <v>70</v>
      </c>
      <c r="C38" s="2" t="s">
        <v>210</v>
      </c>
      <c r="D38" s="20"/>
      <c r="E38" s="20"/>
      <c r="F38" s="20"/>
      <c r="G38" s="20"/>
      <c r="H38" s="20">
        <v>7000000</v>
      </c>
      <c r="I38" s="20"/>
      <c r="J38" s="20"/>
      <c r="K38" s="20"/>
      <c r="L38" s="20"/>
      <c r="M38" s="20"/>
      <c r="N38" s="20">
        <f>SUM(D38:M38)</f>
        <v>7000000</v>
      </c>
    </row>
    <row r="39" spans="2:14" x14ac:dyDescent="0.25">
      <c r="B39" s="57" t="s">
        <v>71</v>
      </c>
      <c r="C39" s="2" t="s">
        <v>210</v>
      </c>
      <c r="D39" s="20"/>
      <c r="E39" s="20"/>
      <c r="F39" s="20">
        <v>2293200</v>
      </c>
      <c r="G39" s="20"/>
      <c r="H39" s="20"/>
      <c r="I39" s="20"/>
      <c r="J39" s="20"/>
      <c r="K39" s="20"/>
      <c r="L39" s="20"/>
      <c r="M39" s="20"/>
      <c r="N39" s="20">
        <f t="shared" ref="N39:N40" si="2">SUM(D39:M39)</f>
        <v>2293200</v>
      </c>
    </row>
    <row r="40" spans="2:14" ht="21.75" thickBot="1" x14ac:dyDescent="0.3">
      <c r="B40" s="57" t="s">
        <v>162</v>
      </c>
      <c r="C40" s="2" t="s">
        <v>210</v>
      </c>
      <c r="D40" s="20"/>
      <c r="E40" s="20"/>
      <c r="F40" s="20">
        <v>4700000</v>
      </c>
      <c r="G40" s="20"/>
      <c r="H40" s="20"/>
      <c r="I40" s="20"/>
      <c r="J40" s="20"/>
      <c r="K40" s="20"/>
      <c r="L40" s="20">
        <v>18947368</v>
      </c>
      <c r="M40" s="20"/>
      <c r="N40" s="20">
        <f t="shared" si="2"/>
        <v>23647368</v>
      </c>
    </row>
    <row r="41" spans="2:14" ht="15.75" thickBot="1" x14ac:dyDescent="0.3">
      <c r="B41" s="122" t="s">
        <v>29</v>
      </c>
      <c r="C41" s="123" t="s">
        <v>210</v>
      </c>
      <c r="D41" s="78">
        <f t="shared" ref="D41:N41" si="3">SUM(D38:D40,D34:D36,D7:D32)</f>
        <v>53453352</v>
      </c>
      <c r="E41" s="78">
        <f t="shared" si="3"/>
        <v>7006538</v>
      </c>
      <c r="F41" s="78">
        <f t="shared" si="3"/>
        <v>138591153</v>
      </c>
      <c r="G41" s="78">
        <f t="shared" si="3"/>
        <v>7824089</v>
      </c>
      <c r="H41" s="78">
        <f t="shared" si="3"/>
        <v>17763430</v>
      </c>
      <c r="I41" s="78">
        <f t="shared" si="3"/>
        <v>7100000</v>
      </c>
      <c r="J41" s="78">
        <f t="shared" si="3"/>
        <v>162903841</v>
      </c>
      <c r="K41" s="78">
        <f t="shared" si="3"/>
        <v>27400000</v>
      </c>
      <c r="L41" s="78">
        <f t="shared" si="3"/>
        <v>397636879</v>
      </c>
      <c r="M41" s="78">
        <f t="shared" si="3"/>
        <v>1623099</v>
      </c>
      <c r="N41" s="78">
        <f t="shared" si="3"/>
        <v>821302381</v>
      </c>
    </row>
  </sheetData>
  <mergeCells count="8">
    <mergeCell ref="B33:N33"/>
    <mergeCell ref="B37:N37"/>
    <mergeCell ref="B4:B5"/>
    <mergeCell ref="C4:C5"/>
    <mergeCell ref="D4:H4"/>
    <mergeCell ref="I4:K4"/>
    <mergeCell ref="N4:N5"/>
    <mergeCell ref="B6:N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N31"/>
  <sheetViews>
    <sheetView zoomScale="115" zoomScaleNormal="115" zoomScaleSheetLayoutView="100" workbookViewId="0">
      <selection activeCell="B23" sqref="B23:N31"/>
    </sheetView>
  </sheetViews>
  <sheetFormatPr defaultRowHeight="15" x14ac:dyDescent="0.25"/>
  <cols>
    <col min="1" max="1" width="9.140625" style="96"/>
    <col min="2" max="2" width="16.85546875" style="96" bestFit="1" customWidth="1"/>
    <col min="3" max="3" width="14.85546875" style="96" customWidth="1"/>
    <col min="4" max="4" width="11" style="96" bestFit="1" customWidth="1"/>
    <col min="5" max="5" width="10.28515625" style="96" bestFit="1" customWidth="1"/>
    <col min="6" max="6" width="11" style="96" bestFit="1" customWidth="1"/>
    <col min="7" max="13" width="9.28515625" style="96" bestFit="1" customWidth="1"/>
    <col min="14" max="14" width="11.7109375" style="96" bestFit="1" customWidth="1"/>
    <col min="15" max="15" width="9.5703125" style="96" bestFit="1" customWidth="1"/>
    <col min="16" max="16384" width="9.140625" style="96"/>
  </cols>
  <sheetData>
    <row r="2" spans="1:14" x14ac:dyDescent="0.25">
      <c r="A2" s="109"/>
      <c r="B2" s="93" t="s">
        <v>165</v>
      </c>
    </row>
    <row r="4" spans="1:14" x14ac:dyDescent="0.25">
      <c r="B4" s="176" t="s">
        <v>147</v>
      </c>
      <c r="C4" s="176" t="s">
        <v>16</v>
      </c>
      <c r="D4" s="174" t="s">
        <v>43</v>
      </c>
      <c r="E4" s="174"/>
      <c r="F4" s="174"/>
      <c r="G4" s="174"/>
      <c r="H4" s="174"/>
      <c r="I4" s="174" t="s">
        <v>44</v>
      </c>
      <c r="J4" s="174"/>
      <c r="K4" s="174"/>
      <c r="L4" s="115"/>
      <c r="M4" s="3" t="s">
        <v>45</v>
      </c>
      <c r="N4" s="176" t="s">
        <v>29</v>
      </c>
    </row>
    <row r="5" spans="1:14" ht="42" x14ac:dyDescent="0.25">
      <c r="B5" s="177"/>
      <c r="C5" s="177"/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 t="s">
        <v>51</v>
      </c>
      <c r="J5" s="3" t="s">
        <v>52</v>
      </c>
      <c r="K5" s="3" t="s">
        <v>53</v>
      </c>
      <c r="L5" s="3" t="s">
        <v>54</v>
      </c>
      <c r="M5" s="3" t="s">
        <v>55</v>
      </c>
      <c r="N5" s="177"/>
    </row>
    <row r="6" spans="1:14" ht="21" customHeight="1" x14ac:dyDescent="0.25">
      <c r="B6" s="106" t="s">
        <v>152</v>
      </c>
      <c r="C6" s="4" t="s">
        <v>210</v>
      </c>
      <c r="D6" s="20">
        <v>59660434</v>
      </c>
      <c r="E6" s="20">
        <v>8088106</v>
      </c>
      <c r="F6" s="20">
        <v>13467716</v>
      </c>
      <c r="G6" s="20">
        <v>0</v>
      </c>
      <c r="H6" s="20">
        <v>0</v>
      </c>
      <c r="I6" s="20">
        <v>1400000</v>
      </c>
      <c r="J6" s="20">
        <v>0</v>
      </c>
      <c r="K6" s="20">
        <v>0</v>
      </c>
      <c r="L6" s="20">
        <v>0</v>
      </c>
      <c r="M6" s="20">
        <v>0</v>
      </c>
      <c r="N6" s="20">
        <f>SUM(D6:M6)</f>
        <v>82616256</v>
      </c>
    </row>
    <row r="9" spans="1:14" x14ac:dyDescent="0.25">
      <c r="A9" s="109"/>
      <c r="B9" s="93" t="s">
        <v>166</v>
      </c>
    </row>
    <row r="11" spans="1:14" x14ac:dyDescent="0.25">
      <c r="B11" s="174" t="s">
        <v>147</v>
      </c>
      <c r="C11" s="174" t="s">
        <v>16</v>
      </c>
      <c r="D11" s="174" t="s">
        <v>43</v>
      </c>
      <c r="E11" s="174"/>
      <c r="F11" s="174"/>
      <c r="G11" s="174"/>
      <c r="H11" s="174"/>
      <c r="I11" s="174" t="s">
        <v>44</v>
      </c>
      <c r="J11" s="174"/>
      <c r="K11" s="174"/>
      <c r="L11" s="115"/>
      <c r="M11" s="3" t="s">
        <v>45</v>
      </c>
      <c r="N11" s="174" t="s">
        <v>29</v>
      </c>
    </row>
    <row r="12" spans="1:14" ht="42" x14ac:dyDescent="0.25">
      <c r="B12" s="174"/>
      <c r="C12" s="174"/>
      <c r="D12" s="3" t="s">
        <v>46</v>
      </c>
      <c r="E12" s="3" t="s">
        <v>47</v>
      </c>
      <c r="F12" s="3" t="s">
        <v>48</v>
      </c>
      <c r="G12" s="3" t="s">
        <v>49</v>
      </c>
      <c r="H12" s="3" t="s">
        <v>50</v>
      </c>
      <c r="I12" s="3" t="s">
        <v>51</v>
      </c>
      <c r="J12" s="3" t="s">
        <v>52</v>
      </c>
      <c r="K12" s="3" t="s">
        <v>53</v>
      </c>
      <c r="L12" s="3" t="s">
        <v>54</v>
      </c>
      <c r="M12" s="3" t="s">
        <v>55</v>
      </c>
      <c r="N12" s="174"/>
    </row>
    <row r="13" spans="1:14" ht="21" customHeight="1" x14ac:dyDescent="0.25">
      <c r="B13" s="106" t="s">
        <v>150</v>
      </c>
      <c r="C13" s="4" t="s">
        <v>210</v>
      </c>
      <c r="D13" s="20">
        <v>8976357</v>
      </c>
      <c r="E13" s="20">
        <v>1158487</v>
      </c>
      <c r="F13" s="20">
        <v>20927060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f t="shared" ref="N13:N17" si="0">SUM(D13:M13)</f>
        <v>31061904</v>
      </c>
    </row>
    <row r="14" spans="1:14" x14ac:dyDescent="0.25">
      <c r="B14" s="106" t="s">
        <v>148</v>
      </c>
      <c r="C14" s="4" t="s">
        <v>210</v>
      </c>
      <c r="D14" s="20">
        <v>96399402</v>
      </c>
      <c r="E14" s="20">
        <v>12879422</v>
      </c>
      <c r="F14" s="20">
        <v>9531590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f t="shared" si="0"/>
        <v>118810414</v>
      </c>
    </row>
    <row r="15" spans="1:14" x14ac:dyDescent="0.25">
      <c r="B15" s="106" t="s">
        <v>149</v>
      </c>
      <c r="C15" s="4" t="s">
        <v>210</v>
      </c>
      <c r="D15" s="20">
        <v>37872137</v>
      </c>
      <c r="E15" s="20">
        <v>4855640</v>
      </c>
      <c r="F15" s="20">
        <v>4412410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f t="shared" si="0"/>
        <v>47140187</v>
      </c>
    </row>
    <row r="16" spans="1:14" ht="21" customHeight="1" x14ac:dyDescent="0.25">
      <c r="B16" s="106" t="s">
        <v>151</v>
      </c>
      <c r="C16" s="4" t="s">
        <v>210</v>
      </c>
      <c r="D16" s="20">
        <v>0</v>
      </c>
      <c r="E16" s="20">
        <v>0</v>
      </c>
      <c r="F16" s="20">
        <v>6151626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f t="shared" si="0"/>
        <v>6151626</v>
      </c>
    </row>
    <row r="17" spans="1:14" ht="21" customHeight="1" x14ac:dyDescent="0.25">
      <c r="B17" s="106" t="s">
        <v>160</v>
      </c>
      <c r="C17" s="4" t="s">
        <v>210</v>
      </c>
      <c r="D17" s="20">
        <v>0</v>
      </c>
      <c r="E17" s="20">
        <v>0</v>
      </c>
      <c r="F17" s="20">
        <v>762000</v>
      </c>
      <c r="G17" s="20">
        <v>0</v>
      </c>
      <c r="H17" s="20">
        <v>0</v>
      </c>
      <c r="I17" s="20">
        <v>1000000</v>
      </c>
      <c r="J17" s="20">
        <v>0</v>
      </c>
      <c r="K17" s="20">
        <v>0</v>
      </c>
      <c r="L17" s="20">
        <v>0</v>
      </c>
      <c r="M17" s="20">
        <v>0</v>
      </c>
      <c r="N17" s="20">
        <f t="shared" si="0"/>
        <v>1762000</v>
      </c>
    </row>
    <row r="18" spans="1:14" x14ac:dyDescent="0.25">
      <c r="B18" s="47" t="s">
        <v>29</v>
      </c>
      <c r="C18" s="1" t="s">
        <v>210</v>
      </c>
      <c r="D18" s="48">
        <f t="shared" ref="D18:N18" si="1">SUM(D13,D14,D15,D16,D17)</f>
        <v>143247896</v>
      </c>
      <c r="E18" s="48">
        <f t="shared" si="1"/>
        <v>18893549</v>
      </c>
      <c r="F18" s="48">
        <f t="shared" si="1"/>
        <v>41784686</v>
      </c>
      <c r="G18" s="48">
        <f t="shared" si="1"/>
        <v>0</v>
      </c>
      <c r="H18" s="48">
        <f t="shared" si="1"/>
        <v>0</v>
      </c>
      <c r="I18" s="48">
        <f t="shared" si="1"/>
        <v>1000000</v>
      </c>
      <c r="J18" s="48">
        <f t="shared" si="1"/>
        <v>0</v>
      </c>
      <c r="K18" s="48">
        <f t="shared" si="1"/>
        <v>0</v>
      </c>
      <c r="L18" s="48">
        <f t="shared" si="1"/>
        <v>0</v>
      </c>
      <c r="M18" s="48">
        <f t="shared" si="1"/>
        <v>0</v>
      </c>
      <c r="N18" s="48">
        <f t="shared" si="1"/>
        <v>204926131</v>
      </c>
    </row>
    <row r="21" spans="1:14" x14ac:dyDescent="0.25">
      <c r="A21" s="109"/>
      <c r="B21" s="93" t="s">
        <v>167</v>
      </c>
    </row>
    <row r="23" spans="1:14" x14ac:dyDescent="0.25">
      <c r="B23" s="176" t="s">
        <v>147</v>
      </c>
      <c r="C23" s="176" t="s">
        <v>16</v>
      </c>
      <c r="D23" s="174" t="s">
        <v>43</v>
      </c>
      <c r="E23" s="174"/>
      <c r="F23" s="174"/>
      <c r="G23" s="174"/>
      <c r="H23" s="174"/>
      <c r="I23" s="174" t="s">
        <v>44</v>
      </c>
      <c r="J23" s="174"/>
      <c r="K23" s="174"/>
      <c r="L23" s="3"/>
      <c r="M23" s="3" t="s">
        <v>45</v>
      </c>
      <c r="N23" s="176" t="s">
        <v>29</v>
      </c>
    </row>
    <row r="24" spans="1:14" ht="42" x14ac:dyDescent="0.25">
      <c r="B24" s="177"/>
      <c r="C24" s="177"/>
      <c r="D24" s="3" t="s">
        <v>46</v>
      </c>
      <c r="E24" s="3" t="s">
        <v>47</v>
      </c>
      <c r="F24" s="3" t="s">
        <v>48</v>
      </c>
      <c r="G24" s="3" t="s">
        <v>49</v>
      </c>
      <c r="H24" s="3" t="s">
        <v>50</v>
      </c>
      <c r="I24" s="3" t="s">
        <v>51</v>
      </c>
      <c r="J24" s="3" t="s">
        <v>52</v>
      </c>
      <c r="K24" s="3" t="s">
        <v>53</v>
      </c>
      <c r="L24" s="3" t="s">
        <v>54</v>
      </c>
      <c r="M24" s="3" t="s">
        <v>55</v>
      </c>
      <c r="N24" s="177"/>
    </row>
    <row r="25" spans="1:14" ht="21" x14ac:dyDescent="0.25">
      <c r="B25" s="2" t="s">
        <v>153</v>
      </c>
      <c r="C25" s="4" t="s">
        <v>210</v>
      </c>
      <c r="D25" s="20">
        <v>24366775</v>
      </c>
      <c r="E25" s="20">
        <f>D25*0.13</f>
        <v>3167680.75</v>
      </c>
      <c r="F25" s="20">
        <v>952500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f t="shared" ref="N25:N30" si="2">SUM(D25:M25)</f>
        <v>28486955.75</v>
      </c>
    </row>
    <row r="26" spans="1:14" ht="21" x14ac:dyDescent="0.25">
      <c r="B26" s="2" t="s">
        <v>154</v>
      </c>
      <c r="C26" s="4" t="s">
        <v>210</v>
      </c>
      <c r="D26" s="20">
        <v>16132155</v>
      </c>
      <c r="E26" s="20">
        <f>D26*0.13+369000</f>
        <v>2466180.15</v>
      </c>
      <c r="F26" s="20">
        <v>4258310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f t="shared" si="2"/>
        <v>22856645.149999999</v>
      </c>
    </row>
    <row r="27" spans="1:14" ht="31.5" x14ac:dyDescent="0.25">
      <c r="B27" s="2" t="s">
        <v>155</v>
      </c>
      <c r="C27" s="4" t="s">
        <v>210</v>
      </c>
      <c r="D27" s="20">
        <v>10729668</v>
      </c>
      <c r="E27" s="20">
        <f t="shared" ref="E27:E30" si="3">D27*0.13</f>
        <v>1394856.84</v>
      </c>
      <c r="F27" s="20">
        <v>3960000</v>
      </c>
      <c r="G27" s="20">
        <v>0</v>
      </c>
      <c r="H27" s="20">
        <v>0</v>
      </c>
      <c r="I27" s="20">
        <v>580000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2"/>
        <v>16664524.84</v>
      </c>
    </row>
    <row r="28" spans="1:14" x14ac:dyDescent="0.25">
      <c r="B28" s="2" t="s">
        <v>156</v>
      </c>
      <c r="C28" s="4" t="s">
        <v>210</v>
      </c>
      <c r="D28" s="20">
        <v>16369700</v>
      </c>
      <c r="E28" s="20">
        <f t="shared" si="3"/>
        <v>2128061</v>
      </c>
      <c r="F28" s="20">
        <v>190500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f t="shared" si="2"/>
        <v>18688261</v>
      </c>
    </row>
    <row r="29" spans="1:14" x14ac:dyDescent="0.25">
      <c r="B29" s="2" t="s">
        <v>157</v>
      </c>
      <c r="C29" s="4" t="s">
        <v>210</v>
      </c>
      <c r="D29" s="20">
        <v>4789650</v>
      </c>
      <c r="E29" s="20">
        <f t="shared" si="3"/>
        <v>622654.5</v>
      </c>
      <c r="F29" s="20">
        <v>12355220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f t="shared" si="2"/>
        <v>17767524.5</v>
      </c>
    </row>
    <row r="30" spans="1:14" ht="21" x14ac:dyDescent="0.25">
      <c r="B30" s="2" t="s">
        <v>158</v>
      </c>
      <c r="C30" s="4" t="s">
        <v>210</v>
      </c>
      <c r="D30" s="20">
        <v>738143</v>
      </c>
      <c r="E30" s="20">
        <f t="shared" si="3"/>
        <v>95958.59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f t="shared" si="2"/>
        <v>834101.59</v>
      </c>
    </row>
    <row r="31" spans="1:14" x14ac:dyDescent="0.25">
      <c r="B31" s="47" t="s">
        <v>29</v>
      </c>
      <c r="C31" s="1" t="s">
        <v>210</v>
      </c>
      <c r="D31" s="48">
        <f t="shared" ref="D31:N31" si="4">SUM(D25,D26,D27,D28,D29,D30)</f>
        <v>73126091</v>
      </c>
      <c r="E31" s="48">
        <f t="shared" si="4"/>
        <v>9875391.8300000001</v>
      </c>
      <c r="F31" s="48">
        <f t="shared" si="4"/>
        <v>21716530</v>
      </c>
      <c r="G31" s="48">
        <f t="shared" si="4"/>
        <v>0</v>
      </c>
      <c r="H31" s="48">
        <f t="shared" si="4"/>
        <v>0</v>
      </c>
      <c r="I31" s="48">
        <f t="shared" si="4"/>
        <v>580000</v>
      </c>
      <c r="J31" s="48">
        <f t="shared" si="4"/>
        <v>0</v>
      </c>
      <c r="K31" s="48">
        <f t="shared" si="4"/>
        <v>0</v>
      </c>
      <c r="L31" s="48">
        <f t="shared" si="4"/>
        <v>0</v>
      </c>
      <c r="M31" s="48">
        <f t="shared" si="4"/>
        <v>0</v>
      </c>
      <c r="N31" s="48">
        <f t="shared" si="4"/>
        <v>105298012.83</v>
      </c>
    </row>
  </sheetData>
  <mergeCells count="15">
    <mergeCell ref="B11:B12"/>
    <mergeCell ref="C11:C12"/>
    <mergeCell ref="B4:B5"/>
    <mergeCell ref="N23:N24"/>
    <mergeCell ref="D23:H23"/>
    <mergeCell ref="I23:K23"/>
    <mergeCell ref="B23:B24"/>
    <mergeCell ref="C23:C24"/>
    <mergeCell ref="C4:C5"/>
    <mergeCell ref="N4:N5"/>
    <mergeCell ref="D4:H4"/>
    <mergeCell ref="I4:K4"/>
    <mergeCell ref="N11:N12"/>
    <mergeCell ref="D11:H11"/>
    <mergeCell ref="I11:K11"/>
  </mergeCells>
  <phoneticPr fontId="10" type="noConversion"/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140AB-4378-44E1-ABE7-3B2464384E5D}">
  <sheetPr>
    <tabColor rgb="FF92D050"/>
  </sheetPr>
  <dimension ref="A2:E23"/>
  <sheetViews>
    <sheetView workbookViewId="0">
      <selection activeCell="D27" sqref="D27"/>
    </sheetView>
  </sheetViews>
  <sheetFormatPr defaultRowHeight="15" x14ac:dyDescent="0.25"/>
  <cols>
    <col min="1" max="2" width="9.140625" style="14"/>
    <col min="3" max="3" width="7.85546875" style="14" customWidth="1"/>
    <col min="4" max="4" width="65.5703125" style="131" customWidth="1"/>
    <col min="5" max="5" width="26.5703125" style="14" bestFit="1" customWidth="1"/>
    <col min="6" max="16384" width="9.140625" style="14"/>
  </cols>
  <sheetData>
    <row r="2" spans="1:5" x14ac:dyDescent="0.25">
      <c r="A2" s="160"/>
      <c r="C2" s="14" t="s">
        <v>164</v>
      </c>
    </row>
    <row r="4" spans="1:5" ht="15.75" thickBot="1" x14ac:dyDescent="0.3"/>
    <row r="5" spans="1:5" s="144" customFormat="1" ht="22.5" customHeight="1" thickBot="1" x14ac:dyDescent="0.3">
      <c r="C5" s="157" t="s">
        <v>147</v>
      </c>
      <c r="D5" s="158" t="s">
        <v>250</v>
      </c>
      <c r="E5" s="159" t="s">
        <v>206</v>
      </c>
    </row>
    <row r="6" spans="1:5" ht="15.75" thickBot="1" x14ac:dyDescent="0.3">
      <c r="C6" s="148" t="s">
        <v>41</v>
      </c>
      <c r="D6" s="149"/>
      <c r="E6" s="150">
        <f>SUM(E7:E11)</f>
        <v>338310</v>
      </c>
    </row>
    <row r="7" spans="1:5" x14ac:dyDescent="0.25">
      <c r="C7" s="145"/>
      <c r="D7" s="146" t="s">
        <v>251</v>
      </c>
      <c r="E7" s="147">
        <v>60000</v>
      </c>
    </row>
    <row r="8" spans="1:5" x14ac:dyDescent="0.25">
      <c r="C8" s="142"/>
      <c r="D8" s="141" t="s">
        <v>252</v>
      </c>
      <c r="E8" s="143">
        <v>128310</v>
      </c>
    </row>
    <row r="9" spans="1:5" x14ac:dyDescent="0.25">
      <c r="C9" s="142"/>
      <c r="D9" s="141" t="s">
        <v>253</v>
      </c>
      <c r="E9" s="143">
        <v>50000</v>
      </c>
    </row>
    <row r="10" spans="1:5" x14ac:dyDescent="0.25">
      <c r="C10" s="142"/>
      <c r="D10" s="141" t="s">
        <v>264</v>
      </c>
      <c r="E10" s="143">
        <v>50000</v>
      </c>
    </row>
    <row r="11" spans="1:5" ht="15.75" thickBot="1" x14ac:dyDescent="0.3">
      <c r="C11" s="151"/>
      <c r="D11" s="152" t="s">
        <v>265</v>
      </c>
      <c r="E11" s="153">
        <v>50000</v>
      </c>
    </row>
    <row r="12" spans="1:5" ht="15.75" thickBot="1" x14ac:dyDescent="0.3">
      <c r="C12" s="148" t="s">
        <v>254</v>
      </c>
      <c r="D12" s="149"/>
      <c r="E12" s="150">
        <f>SUM(E13:E15)</f>
        <v>4850000</v>
      </c>
    </row>
    <row r="13" spans="1:5" x14ac:dyDescent="0.25">
      <c r="C13" s="145"/>
      <c r="D13" s="146" t="s">
        <v>255</v>
      </c>
      <c r="E13" s="147">
        <v>3000000</v>
      </c>
    </row>
    <row r="14" spans="1:5" x14ac:dyDescent="0.25">
      <c r="C14" s="142"/>
      <c r="D14" s="141" t="s">
        <v>256</v>
      </c>
      <c r="E14" s="143">
        <v>1500000</v>
      </c>
    </row>
    <row r="15" spans="1:5" ht="15.75" thickBot="1" x14ac:dyDescent="0.3">
      <c r="C15" s="151"/>
      <c r="D15" s="152" t="s">
        <v>263</v>
      </c>
      <c r="E15" s="153">
        <v>350000</v>
      </c>
    </row>
    <row r="16" spans="1:5" ht="15.75" thickBot="1" x14ac:dyDescent="0.3">
      <c r="C16" s="148" t="s">
        <v>257</v>
      </c>
      <c r="D16" s="149"/>
      <c r="E16" s="150">
        <f>SUM(E17)</f>
        <v>7000000</v>
      </c>
    </row>
    <row r="17" spans="3:5" ht="15.75" thickBot="1" x14ac:dyDescent="0.3">
      <c r="C17" s="154"/>
      <c r="D17" s="155" t="s">
        <v>258</v>
      </c>
      <c r="E17" s="156">
        <v>7000000</v>
      </c>
    </row>
    <row r="18" spans="3:5" ht="15.75" thickBot="1" x14ac:dyDescent="0.3">
      <c r="C18" s="148" t="s">
        <v>259</v>
      </c>
      <c r="D18" s="149"/>
      <c r="E18" s="150">
        <f>SUM(E19)</f>
        <v>3400000</v>
      </c>
    </row>
    <row r="19" spans="3:5" ht="15.75" thickBot="1" x14ac:dyDescent="0.3">
      <c r="C19" s="154"/>
      <c r="D19" s="155" t="s">
        <v>260</v>
      </c>
      <c r="E19" s="156">
        <v>3400000</v>
      </c>
    </row>
    <row r="20" spans="3:5" ht="15.75" thickBot="1" x14ac:dyDescent="0.3">
      <c r="C20" s="148" t="s">
        <v>261</v>
      </c>
      <c r="D20" s="149"/>
      <c r="E20" s="150">
        <f>SUM(E21)</f>
        <v>2914089</v>
      </c>
    </row>
    <row r="21" spans="3:5" ht="15.75" thickBot="1" x14ac:dyDescent="0.3">
      <c r="C21" s="154"/>
      <c r="D21" s="155" t="s">
        <v>262</v>
      </c>
      <c r="E21" s="156">
        <v>2914089</v>
      </c>
    </row>
    <row r="22" spans="3:5" ht="29.25" customHeight="1" thickBot="1" x14ac:dyDescent="0.3">
      <c r="C22" s="178" t="s">
        <v>266</v>
      </c>
      <c r="D22" s="179"/>
      <c r="E22" s="150">
        <v>10485120</v>
      </c>
    </row>
    <row r="23" spans="3:5" ht="24.75" customHeight="1" x14ac:dyDescent="0.25">
      <c r="C23" s="145" t="s">
        <v>29</v>
      </c>
      <c r="D23" s="146"/>
      <c r="E23" s="147">
        <f>E6+E12+E16+E18+E20+E22</f>
        <v>28987519</v>
      </c>
    </row>
  </sheetData>
  <mergeCells count="1">
    <mergeCell ref="C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2:C42"/>
  <sheetViews>
    <sheetView zoomScale="130" zoomScaleNormal="130" zoomScaleSheetLayoutView="100" workbookViewId="0">
      <selection activeCell="C14" sqref="C14"/>
    </sheetView>
  </sheetViews>
  <sheetFormatPr defaultColWidth="35.5703125" defaultRowHeight="15" x14ac:dyDescent="0.25"/>
  <cols>
    <col min="1" max="1" width="9" style="96" customWidth="1"/>
    <col min="2" max="2" width="53.140625" style="96" customWidth="1"/>
    <col min="3" max="3" width="18" style="96" customWidth="1"/>
    <col min="4" max="16384" width="35.5703125" style="96"/>
  </cols>
  <sheetData>
    <row r="2" spans="1:3" x14ac:dyDescent="0.25">
      <c r="A2" s="109"/>
      <c r="B2" s="93" t="s">
        <v>164</v>
      </c>
    </row>
    <row r="4" spans="1:3" ht="24" customHeight="1" x14ac:dyDescent="0.25">
      <c r="B4" s="5" t="s">
        <v>15</v>
      </c>
      <c r="C4" s="3" t="s">
        <v>206</v>
      </c>
    </row>
    <row r="5" spans="1:3" ht="15.75" customHeight="1" x14ac:dyDescent="0.25">
      <c r="B5" s="47" t="s">
        <v>39</v>
      </c>
      <c r="C5" s="48">
        <f>SUM(C6:C6)</f>
        <v>2500000</v>
      </c>
    </row>
    <row r="6" spans="1:3" x14ac:dyDescent="0.25">
      <c r="B6" s="4" t="s">
        <v>40</v>
      </c>
      <c r="C6" s="20">
        <v>2500000</v>
      </c>
    </row>
    <row r="7" spans="1:3" ht="15.75" customHeight="1" x14ac:dyDescent="0.25">
      <c r="B7" s="47" t="s">
        <v>191</v>
      </c>
      <c r="C7" s="48">
        <f>SUM(C8)</f>
        <v>1600000</v>
      </c>
    </row>
    <row r="8" spans="1:3" x14ac:dyDescent="0.25">
      <c r="B8" s="4" t="s">
        <v>192</v>
      </c>
      <c r="C8" s="20">
        <v>1600000</v>
      </c>
    </row>
    <row r="9" spans="1:3" ht="15.75" customHeight="1" x14ac:dyDescent="0.25">
      <c r="B9" s="47" t="s">
        <v>193</v>
      </c>
      <c r="C9" s="48">
        <f>SUM(C10:C11)</f>
        <v>162903841</v>
      </c>
    </row>
    <row r="10" spans="1:3" x14ac:dyDescent="0.25">
      <c r="B10" s="4" t="s">
        <v>217</v>
      </c>
      <c r="C10" s="20">
        <v>161287841</v>
      </c>
    </row>
    <row r="11" spans="1:3" x14ac:dyDescent="0.25">
      <c r="B11" s="4" t="s">
        <v>218</v>
      </c>
      <c r="C11" s="20">
        <v>1616000</v>
      </c>
    </row>
    <row r="12" spans="1:3" ht="15.75" customHeight="1" x14ac:dyDescent="0.25">
      <c r="B12" s="47" t="s">
        <v>219</v>
      </c>
      <c r="C12" s="48">
        <f>C13</f>
        <v>3000000</v>
      </c>
    </row>
    <row r="13" spans="1:3" x14ac:dyDescent="0.25">
      <c r="B13" s="4" t="s">
        <v>220</v>
      </c>
      <c r="C13" s="20">
        <v>3000000</v>
      </c>
    </row>
    <row r="14" spans="1:3" x14ac:dyDescent="0.25">
      <c r="B14" s="47" t="s">
        <v>29</v>
      </c>
      <c r="C14" s="48">
        <f>SUM(C5,C7,C9,C12)</f>
        <v>170003841</v>
      </c>
    </row>
    <row r="15" spans="1:3" x14ac:dyDescent="0.25">
      <c r="B15" s="114"/>
      <c r="C15" s="116"/>
    </row>
    <row r="16" spans="1:3" x14ac:dyDescent="0.25">
      <c r="B16" s="114"/>
      <c r="C16" s="114"/>
    </row>
    <row r="17" spans="1:3" x14ac:dyDescent="0.25">
      <c r="A17" s="109"/>
      <c r="B17" s="93" t="s">
        <v>165</v>
      </c>
      <c r="C17" s="114"/>
    </row>
    <row r="18" spans="1:3" x14ac:dyDescent="0.25">
      <c r="B18" s="114"/>
      <c r="C18" s="114"/>
    </row>
    <row r="19" spans="1:3" ht="36.75" customHeight="1" x14ac:dyDescent="0.25">
      <c r="B19" s="3" t="s">
        <v>15</v>
      </c>
      <c r="C19" s="3" t="s">
        <v>206</v>
      </c>
    </row>
    <row r="20" spans="1:3" ht="15.75" customHeight="1" x14ac:dyDescent="0.25">
      <c r="B20" s="47" t="s">
        <v>41</v>
      </c>
      <c r="C20" s="47"/>
    </row>
    <row r="21" spans="1:3" ht="15.75" customHeight="1" x14ac:dyDescent="0.25">
      <c r="B21" s="4" t="s">
        <v>211</v>
      </c>
      <c r="C21" s="20">
        <v>500000</v>
      </c>
    </row>
    <row r="22" spans="1:3" x14ac:dyDescent="0.25">
      <c r="B22" s="4" t="s">
        <v>212</v>
      </c>
      <c r="C22" s="20">
        <v>900000</v>
      </c>
    </row>
    <row r="23" spans="1:3" ht="15.75" customHeight="1" x14ac:dyDescent="0.25">
      <c r="B23" s="2" t="s">
        <v>29</v>
      </c>
      <c r="C23" s="20">
        <f>SUM(C21:C22)</f>
        <v>1400000</v>
      </c>
    </row>
    <row r="24" spans="1:3" x14ac:dyDescent="0.25">
      <c r="B24" s="114"/>
      <c r="C24" s="114"/>
    </row>
    <row r="25" spans="1:3" x14ac:dyDescent="0.25">
      <c r="B25" s="114"/>
      <c r="C25" s="114"/>
    </row>
    <row r="26" spans="1:3" x14ac:dyDescent="0.25">
      <c r="B26" s="114"/>
      <c r="C26" s="114"/>
    </row>
    <row r="27" spans="1:3" x14ac:dyDescent="0.25">
      <c r="A27" s="109"/>
      <c r="B27" s="93" t="s">
        <v>166</v>
      </c>
      <c r="C27" s="114"/>
    </row>
    <row r="28" spans="1:3" x14ac:dyDescent="0.25">
      <c r="B28" s="114"/>
      <c r="C28" s="114"/>
    </row>
    <row r="29" spans="1:3" ht="36.75" customHeight="1" x14ac:dyDescent="0.25">
      <c r="B29" s="3" t="s">
        <v>15</v>
      </c>
      <c r="C29" s="3" t="s">
        <v>206</v>
      </c>
    </row>
    <row r="30" spans="1:3" ht="15.75" customHeight="1" x14ac:dyDescent="0.25">
      <c r="B30" s="47" t="s">
        <v>42</v>
      </c>
      <c r="C30" s="47"/>
    </row>
    <row r="31" spans="1:3" x14ac:dyDescent="0.25">
      <c r="B31" s="50" t="s">
        <v>161</v>
      </c>
      <c r="C31" s="49">
        <v>300000</v>
      </c>
    </row>
    <row r="32" spans="1:3" x14ac:dyDescent="0.25">
      <c r="B32" s="50" t="s">
        <v>216</v>
      </c>
      <c r="C32" s="49">
        <v>700000</v>
      </c>
    </row>
    <row r="33" spans="1:3" ht="15.75" customHeight="1" x14ac:dyDescent="0.25">
      <c r="B33" s="1" t="s">
        <v>29</v>
      </c>
      <c r="C33" s="53">
        <f>SUM(C31:C32)</f>
        <v>1000000</v>
      </c>
    </row>
    <row r="34" spans="1:3" ht="15.75" customHeight="1" x14ac:dyDescent="0.25">
      <c r="B34" s="51"/>
      <c r="C34" s="52"/>
    </row>
    <row r="35" spans="1:3" x14ac:dyDescent="0.25">
      <c r="B35" s="114"/>
      <c r="C35" s="114"/>
    </row>
    <row r="36" spans="1:3" x14ac:dyDescent="0.25">
      <c r="A36" s="109"/>
      <c r="B36" s="93" t="s">
        <v>167</v>
      </c>
      <c r="C36" s="114"/>
    </row>
    <row r="37" spans="1:3" x14ac:dyDescent="0.25">
      <c r="B37" s="114"/>
      <c r="C37" s="114"/>
    </row>
    <row r="38" spans="1:3" ht="24.75" customHeight="1" x14ac:dyDescent="0.25">
      <c r="B38" s="3" t="s">
        <v>15</v>
      </c>
      <c r="C38" s="3" t="s">
        <v>206</v>
      </c>
    </row>
    <row r="39" spans="1:3" x14ac:dyDescent="0.25">
      <c r="B39" s="2" t="s">
        <v>213</v>
      </c>
      <c r="C39" s="2"/>
    </row>
    <row r="40" spans="1:3" x14ac:dyDescent="0.25">
      <c r="B40" s="4" t="s">
        <v>214</v>
      </c>
      <c r="C40" s="20">
        <v>500000</v>
      </c>
    </row>
    <row r="41" spans="1:3" ht="15.75" customHeight="1" x14ac:dyDescent="0.25">
      <c r="B41" s="2" t="s">
        <v>215</v>
      </c>
      <c r="C41" s="20">
        <v>80000</v>
      </c>
    </row>
    <row r="42" spans="1:3" ht="15.75" customHeight="1" x14ac:dyDescent="0.25">
      <c r="B42" s="47" t="s">
        <v>29</v>
      </c>
      <c r="C42" s="48">
        <f>SUM(C40:C41)</f>
        <v>580000</v>
      </c>
    </row>
  </sheetData>
  <pageMargins left="0.7" right="0.7" top="0.75" bottom="0.75" header="0.3" footer="0.3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D76"/>
  <sheetViews>
    <sheetView topLeftCell="A4" zoomScale="130" zoomScaleNormal="130" zoomScaleSheetLayoutView="100" workbookViewId="0">
      <selection activeCell="D5" sqref="D5:D9"/>
    </sheetView>
  </sheetViews>
  <sheetFormatPr defaultRowHeight="15" x14ac:dyDescent="0.25"/>
  <cols>
    <col min="2" max="2" width="2.42578125" bestFit="1" customWidth="1"/>
    <col min="3" max="3" width="40.42578125" customWidth="1"/>
    <col min="4" max="4" width="16.28515625" customWidth="1"/>
  </cols>
  <sheetData>
    <row r="2" spans="1:4" x14ac:dyDescent="0.25">
      <c r="A2" s="105"/>
      <c r="C2" s="14" t="s">
        <v>164</v>
      </c>
    </row>
    <row r="3" spans="1:4" x14ac:dyDescent="0.25">
      <c r="C3" s="14"/>
    </row>
    <row r="4" spans="1:4" x14ac:dyDescent="0.25">
      <c r="B4" s="2"/>
      <c r="C4" s="3" t="s">
        <v>15</v>
      </c>
      <c r="D4" s="3" t="s">
        <v>36</v>
      </c>
    </row>
    <row r="5" spans="1:4" x14ac:dyDescent="0.25">
      <c r="B5" s="3">
        <v>1</v>
      </c>
      <c r="C5" s="4" t="s">
        <v>78</v>
      </c>
      <c r="D5" s="63">
        <v>307805044</v>
      </c>
    </row>
    <row r="6" spans="1:4" x14ac:dyDescent="0.25">
      <c r="B6" s="3">
        <v>2</v>
      </c>
      <c r="C6" s="4" t="s">
        <v>231</v>
      </c>
      <c r="D6" s="63">
        <v>122500000</v>
      </c>
    </row>
    <row r="7" spans="1:4" x14ac:dyDescent="0.25">
      <c r="B7" s="3">
        <v>3</v>
      </c>
      <c r="C7" s="4" t="s">
        <v>108</v>
      </c>
      <c r="D7" s="63">
        <v>70409722</v>
      </c>
    </row>
    <row r="8" spans="1:4" x14ac:dyDescent="0.25">
      <c r="B8" s="3">
        <v>4</v>
      </c>
      <c r="C8" s="4" t="s">
        <v>88</v>
      </c>
      <c r="D8" s="63">
        <v>47000000</v>
      </c>
    </row>
    <row r="9" spans="1:4" x14ac:dyDescent="0.25">
      <c r="B9" s="3">
        <v>5</v>
      </c>
      <c r="C9" s="4" t="s">
        <v>221</v>
      </c>
      <c r="D9" s="63">
        <v>112249854</v>
      </c>
    </row>
    <row r="10" spans="1:4" x14ac:dyDescent="0.25">
      <c r="B10" s="3">
        <v>6</v>
      </c>
      <c r="C10" s="1" t="s">
        <v>222</v>
      </c>
      <c r="D10" s="64">
        <f>SUM(D5:D9)</f>
        <v>659964620</v>
      </c>
    </row>
    <row r="11" spans="1:4" x14ac:dyDescent="0.25">
      <c r="B11" s="3">
        <v>7</v>
      </c>
      <c r="C11" s="4" t="s">
        <v>223</v>
      </c>
      <c r="D11" s="63">
        <v>53453352</v>
      </c>
    </row>
    <row r="12" spans="1:4" x14ac:dyDescent="0.25">
      <c r="B12" s="3">
        <v>8</v>
      </c>
      <c r="C12" s="4" t="s">
        <v>224</v>
      </c>
      <c r="D12" s="63">
        <v>7006538</v>
      </c>
    </row>
    <row r="13" spans="1:4" x14ac:dyDescent="0.25">
      <c r="B13" s="3">
        <v>9</v>
      </c>
      <c r="C13" s="4" t="s">
        <v>48</v>
      </c>
      <c r="D13" s="63">
        <v>138591153</v>
      </c>
    </row>
    <row r="14" spans="1:4" x14ac:dyDescent="0.25">
      <c r="B14" s="3">
        <v>10</v>
      </c>
      <c r="C14" s="4" t="s">
        <v>49</v>
      </c>
      <c r="D14" s="63">
        <v>4850000</v>
      </c>
    </row>
    <row r="15" spans="1:4" x14ac:dyDescent="0.25">
      <c r="B15" s="3">
        <v>11</v>
      </c>
      <c r="C15" s="4" t="s">
        <v>50</v>
      </c>
      <c r="D15" s="63">
        <v>20737519</v>
      </c>
    </row>
    <row r="16" spans="1:4" x14ac:dyDescent="0.25">
      <c r="B16" s="3">
        <v>12</v>
      </c>
      <c r="C16" s="4" t="s">
        <v>205</v>
      </c>
      <c r="D16" s="63">
        <v>1623099</v>
      </c>
    </row>
    <row r="17" spans="1:4" x14ac:dyDescent="0.25">
      <c r="B17" s="3">
        <v>13</v>
      </c>
      <c r="C17" s="4" t="s">
        <v>54</v>
      </c>
      <c r="D17" s="63">
        <v>397636879</v>
      </c>
    </row>
    <row r="18" spans="1:4" x14ac:dyDescent="0.25">
      <c r="B18" s="3">
        <v>14</v>
      </c>
      <c r="C18" s="1" t="s">
        <v>225</v>
      </c>
      <c r="D18" s="64">
        <f>SUM(D11:D17)</f>
        <v>623898540</v>
      </c>
    </row>
    <row r="19" spans="1:4" x14ac:dyDescent="0.25">
      <c r="B19" s="3">
        <v>15</v>
      </c>
      <c r="C19" s="4" t="s">
        <v>118</v>
      </c>
      <c r="D19" s="63">
        <v>49920</v>
      </c>
    </row>
    <row r="20" spans="1:4" ht="21" x14ac:dyDescent="0.25">
      <c r="B20" s="3">
        <v>16</v>
      </c>
      <c r="C20" s="4" t="s">
        <v>232</v>
      </c>
      <c r="D20" s="63">
        <v>161287841</v>
      </c>
    </row>
    <row r="21" spans="1:4" x14ac:dyDescent="0.25">
      <c r="B21" s="3">
        <v>17</v>
      </c>
      <c r="C21" s="1" t="s">
        <v>233</v>
      </c>
      <c r="D21" s="64">
        <f>SUM(D19:D20)</f>
        <v>161337761</v>
      </c>
    </row>
    <row r="22" spans="1:4" x14ac:dyDescent="0.25">
      <c r="B22" s="3">
        <v>18</v>
      </c>
      <c r="C22" s="4" t="s">
        <v>234</v>
      </c>
      <c r="D22" s="63">
        <v>194003841</v>
      </c>
    </row>
    <row r="23" spans="1:4" x14ac:dyDescent="0.25">
      <c r="B23" s="3">
        <v>19</v>
      </c>
      <c r="C23" s="4" t="s">
        <v>235</v>
      </c>
      <c r="D23" s="63">
        <v>3400000</v>
      </c>
    </row>
    <row r="24" spans="1:4" x14ac:dyDescent="0.25">
      <c r="B24" s="3">
        <v>20</v>
      </c>
      <c r="C24" s="1" t="s">
        <v>227</v>
      </c>
      <c r="D24" s="64">
        <f>SUM(D22:D23)</f>
        <v>197403841</v>
      </c>
    </row>
    <row r="25" spans="1:4" s="54" customFormat="1" x14ac:dyDescent="0.25">
      <c r="B25" s="3">
        <v>21</v>
      </c>
      <c r="C25" s="1" t="s">
        <v>228</v>
      </c>
      <c r="D25" s="64">
        <f>D10+D21</f>
        <v>821302381</v>
      </c>
    </row>
    <row r="26" spans="1:4" s="54" customFormat="1" x14ac:dyDescent="0.25">
      <c r="B26" s="3">
        <v>22</v>
      </c>
      <c r="C26" s="1" t="s">
        <v>229</v>
      </c>
      <c r="D26" s="64">
        <f>D18+D24</f>
        <v>821302381</v>
      </c>
    </row>
    <row r="30" spans="1:4" x14ac:dyDescent="0.25">
      <c r="A30" s="105"/>
      <c r="C30" s="14" t="s">
        <v>165</v>
      </c>
    </row>
    <row r="32" spans="1:4" x14ac:dyDescent="0.25">
      <c r="B32" s="2"/>
      <c r="C32" s="3" t="s">
        <v>15</v>
      </c>
      <c r="D32" s="55" t="s">
        <v>36</v>
      </c>
    </row>
    <row r="33" spans="1:4" x14ac:dyDescent="0.25">
      <c r="B33" s="3">
        <v>1</v>
      </c>
      <c r="C33" s="4" t="s">
        <v>108</v>
      </c>
      <c r="D33" s="65">
        <v>610000</v>
      </c>
    </row>
    <row r="34" spans="1:4" x14ac:dyDescent="0.25">
      <c r="B34" s="3">
        <v>2</v>
      </c>
      <c r="C34" s="4" t="s">
        <v>221</v>
      </c>
      <c r="D34" s="65">
        <v>82006256</v>
      </c>
    </row>
    <row r="35" spans="1:4" x14ac:dyDescent="0.25">
      <c r="B35" s="3">
        <v>3</v>
      </c>
      <c r="C35" s="1" t="s">
        <v>222</v>
      </c>
      <c r="D35" s="66">
        <f>SUM(D33:D34)</f>
        <v>82616256</v>
      </c>
    </row>
    <row r="36" spans="1:4" x14ac:dyDescent="0.25">
      <c r="B36" s="3">
        <v>4</v>
      </c>
      <c r="C36" s="4" t="s">
        <v>223</v>
      </c>
      <c r="D36" s="65">
        <v>59660434</v>
      </c>
    </row>
    <row r="37" spans="1:4" x14ac:dyDescent="0.25">
      <c r="B37" s="3">
        <v>5</v>
      </c>
      <c r="C37" s="4" t="s">
        <v>224</v>
      </c>
      <c r="D37" s="65">
        <v>8088106</v>
      </c>
    </row>
    <row r="38" spans="1:4" x14ac:dyDescent="0.25">
      <c r="B38" s="3">
        <v>6</v>
      </c>
      <c r="C38" s="4" t="s">
        <v>48</v>
      </c>
      <c r="D38" s="65">
        <v>13467716</v>
      </c>
    </row>
    <row r="39" spans="1:4" x14ac:dyDescent="0.25">
      <c r="B39" s="3">
        <v>7</v>
      </c>
      <c r="C39" s="1" t="s">
        <v>225</v>
      </c>
      <c r="D39" s="66">
        <f>SUM(D36:D38)</f>
        <v>81216256</v>
      </c>
    </row>
    <row r="40" spans="1:4" x14ac:dyDescent="0.25">
      <c r="B40" s="3">
        <v>8</v>
      </c>
      <c r="C40" s="4" t="s">
        <v>226</v>
      </c>
      <c r="D40" s="65">
        <v>1400000</v>
      </c>
    </row>
    <row r="41" spans="1:4" s="54" customFormat="1" x14ac:dyDescent="0.25">
      <c r="B41" s="3">
        <v>9</v>
      </c>
      <c r="C41" s="1" t="s">
        <v>227</v>
      </c>
      <c r="D41" s="66">
        <f>SUM(D40)</f>
        <v>1400000</v>
      </c>
    </row>
    <row r="42" spans="1:4" s="54" customFormat="1" x14ac:dyDescent="0.25">
      <c r="B42" s="3">
        <v>10</v>
      </c>
      <c r="C42" s="1" t="s">
        <v>228</v>
      </c>
      <c r="D42" s="66">
        <f>D35</f>
        <v>82616256</v>
      </c>
    </row>
    <row r="43" spans="1:4" s="54" customFormat="1" x14ac:dyDescent="0.25">
      <c r="B43" s="3">
        <v>11</v>
      </c>
      <c r="C43" s="1" t="s">
        <v>229</v>
      </c>
      <c r="D43" s="66">
        <f>D39+D41</f>
        <v>82616256</v>
      </c>
    </row>
    <row r="47" spans="1:4" x14ac:dyDescent="0.25">
      <c r="A47" s="105"/>
      <c r="C47" s="14" t="s">
        <v>166</v>
      </c>
    </row>
    <row r="49" spans="1:4" x14ac:dyDescent="0.25">
      <c r="B49" s="2"/>
      <c r="C49" s="3" t="s">
        <v>15</v>
      </c>
      <c r="D49" s="55" t="s">
        <v>37</v>
      </c>
    </row>
    <row r="50" spans="1:4" x14ac:dyDescent="0.25">
      <c r="B50" s="3">
        <v>1</v>
      </c>
      <c r="C50" s="4" t="s">
        <v>108</v>
      </c>
      <c r="D50" s="65">
        <v>10066179</v>
      </c>
    </row>
    <row r="51" spans="1:4" x14ac:dyDescent="0.25">
      <c r="B51" s="3">
        <v>2</v>
      </c>
      <c r="C51" s="4" t="s">
        <v>221</v>
      </c>
      <c r="D51" s="65">
        <v>194859952</v>
      </c>
    </row>
    <row r="52" spans="1:4" x14ac:dyDescent="0.25">
      <c r="B52" s="3">
        <v>3</v>
      </c>
      <c r="C52" s="1" t="s">
        <v>222</v>
      </c>
      <c r="D52" s="66">
        <f>SUM(D50:D51)</f>
        <v>204926131</v>
      </c>
    </row>
    <row r="53" spans="1:4" x14ac:dyDescent="0.25">
      <c r="B53" s="3">
        <v>4</v>
      </c>
      <c r="C53" s="4" t="s">
        <v>223</v>
      </c>
      <c r="D53" s="65">
        <v>143247896</v>
      </c>
    </row>
    <row r="54" spans="1:4" x14ac:dyDescent="0.25">
      <c r="B54" s="3">
        <v>5</v>
      </c>
      <c r="C54" s="4" t="s">
        <v>224</v>
      </c>
      <c r="D54" s="65">
        <v>18893549</v>
      </c>
    </row>
    <row r="55" spans="1:4" x14ac:dyDescent="0.25">
      <c r="B55" s="3">
        <v>6</v>
      </c>
      <c r="C55" s="4" t="s">
        <v>48</v>
      </c>
      <c r="D55" s="65">
        <v>41784686</v>
      </c>
    </row>
    <row r="56" spans="1:4" x14ac:dyDescent="0.25">
      <c r="B56" s="3">
        <v>7</v>
      </c>
      <c r="C56" s="1" t="s">
        <v>225</v>
      </c>
      <c r="D56" s="66">
        <f>SUM(D53:D55)</f>
        <v>203926131</v>
      </c>
    </row>
    <row r="57" spans="1:4" x14ac:dyDescent="0.25">
      <c r="B57" s="3">
        <v>8</v>
      </c>
      <c r="C57" s="4" t="s">
        <v>226</v>
      </c>
      <c r="D57" s="65">
        <v>1000000</v>
      </c>
    </row>
    <row r="58" spans="1:4" x14ac:dyDescent="0.25">
      <c r="B58" s="3">
        <v>9</v>
      </c>
      <c r="C58" s="1" t="s">
        <v>227</v>
      </c>
      <c r="D58" s="66">
        <f>SUM(D57)</f>
        <v>1000000</v>
      </c>
    </row>
    <row r="59" spans="1:4" x14ac:dyDescent="0.25">
      <c r="B59" s="3">
        <v>10</v>
      </c>
      <c r="C59" s="1" t="s">
        <v>228</v>
      </c>
      <c r="D59" s="66">
        <f>D52</f>
        <v>204926131</v>
      </c>
    </row>
    <row r="60" spans="1:4" x14ac:dyDescent="0.25">
      <c r="B60" s="3">
        <v>11</v>
      </c>
      <c r="C60" s="1" t="s">
        <v>229</v>
      </c>
      <c r="D60" s="66">
        <f>D56+D58</f>
        <v>204926131</v>
      </c>
    </row>
    <row r="63" spans="1:4" x14ac:dyDescent="0.25">
      <c r="A63" s="105"/>
      <c r="C63" s="14" t="s">
        <v>167</v>
      </c>
    </row>
    <row r="65" spans="2:4" x14ac:dyDescent="0.25">
      <c r="B65" s="2"/>
      <c r="C65" s="3" t="s">
        <v>15</v>
      </c>
      <c r="D65" s="55" t="s">
        <v>37</v>
      </c>
    </row>
    <row r="66" spans="2:4" x14ac:dyDescent="0.25">
      <c r="B66" s="3">
        <v>1</v>
      </c>
      <c r="C66" s="4" t="s">
        <v>230</v>
      </c>
      <c r="D66" s="63">
        <v>13624564</v>
      </c>
    </row>
    <row r="67" spans="2:4" x14ac:dyDescent="0.25">
      <c r="B67" s="3">
        <v>2</v>
      </c>
      <c r="C67" s="4" t="s">
        <v>221</v>
      </c>
      <c r="D67" s="63">
        <v>91673449</v>
      </c>
    </row>
    <row r="68" spans="2:4" x14ac:dyDescent="0.25">
      <c r="B68" s="3">
        <v>3</v>
      </c>
      <c r="C68" s="1" t="s">
        <v>222</v>
      </c>
      <c r="D68" s="64">
        <f>SUM(D66:D67)</f>
        <v>105298013</v>
      </c>
    </row>
    <row r="69" spans="2:4" x14ac:dyDescent="0.25">
      <c r="B69" s="3">
        <v>4</v>
      </c>
      <c r="C69" s="4" t="s">
        <v>223</v>
      </c>
      <c r="D69" s="63">
        <v>73126091</v>
      </c>
    </row>
    <row r="70" spans="2:4" x14ac:dyDescent="0.25">
      <c r="B70" s="3">
        <v>5</v>
      </c>
      <c r="C70" s="4" t="s">
        <v>224</v>
      </c>
      <c r="D70" s="63">
        <v>9875392</v>
      </c>
    </row>
    <row r="71" spans="2:4" x14ac:dyDescent="0.25">
      <c r="B71" s="3">
        <v>6</v>
      </c>
      <c r="C71" s="4" t="s">
        <v>48</v>
      </c>
      <c r="D71" s="63">
        <v>21716530</v>
      </c>
    </row>
    <row r="72" spans="2:4" x14ac:dyDescent="0.25">
      <c r="B72" s="3">
        <v>7</v>
      </c>
      <c r="C72" s="1" t="s">
        <v>225</v>
      </c>
      <c r="D72" s="64">
        <f>SUM(D69:D71)</f>
        <v>104718013</v>
      </c>
    </row>
    <row r="73" spans="2:4" x14ac:dyDescent="0.25">
      <c r="B73" s="3">
        <v>8</v>
      </c>
      <c r="C73" s="4" t="s">
        <v>226</v>
      </c>
      <c r="D73" s="63">
        <v>580000</v>
      </c>
    </row>
    <row r="74" spans="2:4" x14ac:dyDescent="0.25">
      <c r="B74" s="3">
        <v>9</v>
      </c>
      <c r="C74" s="1" t="s">
        <v>227</v>
      </c>
      <c r="D74" s="64">
        <f>SUM(D73)</f>
        <v>580000</v>
      </c>
    </row>
    <row r="75" spans="2:4" x14ac:dyDescent="0.25">
      <c r="B75" s="3">
        <v>10</v>
      </c>
      <c r="C75" s="1" t="s">
        <v>228</v>
      </c>
      <c r="D75" s="64">
        <f>SUM(D68)</f>
        <v>105298013</v>
      </c>
    </row>
    <row r="76" spans="2:4" x14ac:dyDescent="0.25">
      <c r="B76" s="3">
        <v>11</v>
      </c>
      <c r="C76" s="1" t="s">
        <v>229</v>
      </c>
      <c r="D76" s="64">
        <f>SUM(D74,D72)</f>
        <v>105298013</v>
      </c>
    </row>
  </sheetData>
  <phoneticPr fontId="10" type="noConversion"/>
  <pageMargins left="0.7" right="0.7" top="0.75" bottom="0.75" header="0.3" footer="0.3"/>
  <pageSetup paperSize="9" orientation="portrait" r:id="rId1"/>
  <rowBreaks count="1" manualBreakCount="1"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F7"/>
  <sheetViews>
    <sheetView zoomScale="115" zoomScaleNormal="115" workbookViewId="0">
      <selection activeCell="B3" sqref="B3:F7"/>
    </sheetView>
  </sheetViews>
  <sheetFormatPr defaultRowHeight="15" x14ac:dyDescent="0.25"/>
  <cols>
    <col min="2" max="2" width="39.140625" customWidth="1"/>
    <col min="3" max="4" width="11.5703125" bestFit="1" customWidth="1"/>
    <col min="5" max="5" width="10.7109375" bestFit="1" customWidth="1"/>
    <col min="6" max="6" width="11.5703125" bestFit="1" customWidth="1"/>
  </cols>
  <sheetData>
    <row r="2" spans="1:6" x14ac:dyDescent="0.25">
      <c r="A2" s="105"/>
    </row>
    <row r="3" spans="1:6" ht="15" customHeight="1" x14ac:dyDescent="0.25">
      <c r="C3" s="180" t="s">
        <v>236</v>
      </c>
      <c r="D3" s="181"/>
      <c r="E3" s="181"/>
      <c r="F3" s="182"/>
    </row>
    <row r="4" spans="1:6" x14ac:dyDescent="0.25">
      <c r="B4" s="117" t="s">
        <v>30</v>
      </c>
      <c r="C4" s="68" t="s">
        <v>31</v>
      </c>
      <c r="D4" s="68" t="s">
        <v>32</v>
      </c>
      <c r="E4" s="68" t="s">
        <v>33</v>
      </c>
      <c r="F4" s="68" t="s">
        <v>29</v>
      </c>
    </row>
    <row r="5" spans="1:6" x14ac:dyDescent="0.25">
      <c r="B5" s="56" t="s">
        <v>34</v>
      </c>
      <c r="C5" s="67">
        <v>18947368</v>
      </c>
      <c r="D5" s="67">
        <v>18947368</v>
      </c>
      <c r="E5" s="67">
        <v>9473686</v>
      </c>
      <c r="F5" s="67">
        <f>SUM(C5:E5)</f>
        <v>47368422</v>
      </c>
    </row>
    <row r="6" spans="1:6" x14ac:dyDescent="0.25">
      <c r="B6" s="56" t="s">
        <v>35</v>
      </c>
      <c r="C6" s="67">
        <v>4700000</v>
      </c>
      <c r="D6" s="67">
        <v>724262</v>
      </c>
      <c r="E6" s="67">
        <v>197526</v>
      </c>
      <c r="F6" s="67">
        <f>SUM(C6:E6)</f>
        <v>5621788</v>
      </c>
    </row>
    <row r="7" spans="1:6" x14ac:dyDescent="0.25">
      <c r="B7" s="56" t="s">
        <v>29</v>
      </c>
      <c r="C7" s="67">
        <f t="shared" ref="C7:E7" si="0">SUM(C5:C6)</f>
        <v>23647368</v>
      </c>
      <c r="D7" s="67">
        <f t="shared" si="0"/>
        <v>19671630</v>
      </c>
      <c r="E7" s="67">
        <f t="shared" si="0"/>
        <v>9671212</v>
      </c>
      <c r="F7" s="67">
        <f>SUM(C7:E7)</f>
        <v>52990210</v>
      </c>
    </row>
  </sheetData>
  <mergeCells count="1">
    <mergeCell ref="C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</vt:lpstr>
      <vt:lpstr>2</vt:lpstr>
      <vt:lpstr>3_önk_számoló</vt:lpstr>
      <vt:lpstr>3_önk</vt:lpstr>
      <vt:lpstr>3_int</vt:lpstr>
      <vt:lpstr>4</vt:lpstr>
      <vt:lpstr>5</vt:lpstr>
      <vt:lpstr>6</vt:lpstr>
      <vt:lpstr>7</vt:lpstr>
      <vt:lpstr>8</vt:lpstr>
      <vt:lpstr>9</vt:lpstr>
      <vt:lpstr>10</vt:lpstr>
    </vt:vector>
  </TitlesOfParts>
  <Company>szalámi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BCsilla</cp:lastModifiedBy>
  <cp:lastPrinted>2023-02-08T13:20:25Z</cp:lastPrinted>
  <dcterms:created xsi:type="dcterms:W3CDTF">2022-10-14T10:54:50Z</dcterms:created>
  <dcterms:modified xsi:type="dcterms:W3CDTF">2024-01-11T10:50:07Z</dcterms:modified>
</cp:coreProperties>
</file>